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58.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2024/Lighting One-Page/2.3.x/"/>
    </mc:Choice>
  </mc:AlternateContent>
  <xr:revisionPtr revIDLastSave="160" documentId="8_{1847255D-D2BC-4CFA-BBDE-3E4958DE9D35}" xr6:coauthVersionLast="47" xr6:coauthVersionMax="47" xr10:uidLastSave="{680A78BB-92C5-45E8-88D4-7E921A082632}"/>
  <workbookProtection workbookAlgorithmName="SHA-512" workbookHashValue="AG/fT0pjTjgYxYCWmFTziYDnvSINR9/GtiYmtNKzUbL6yJUgVu6VTfHnwUnKoOcV1CYOdym6azEGuzftUAZhAw==" workbookSaltValue="Pa7AHKGtVEXIhIvvhRp8xw==" workbookSpinCount="100000" lockStructure="1"/>
  <bookViews>
    <workbookView showSheetTabs="0" xWindow="-120" yWindow="-120" windowWidth="51840" windowHeight="21240" tabRatio="792" firstSheet="11" activeTab="11" xr2:uid="{00000000-000D-0000-FFFF-FFFF00000000}"/>
  </bookViews>
  <sheets>
    <sheet name="TEMPLATE" sheetId="3" state="hidden" r:id="rId1"/>
    <sheet name="CUSTOMRCXNC" sheetId="106" state="hidden" r:id="rId2"/>
    <sheet name="CBDATA" sheetId="108" state="hidden" r:id="rId3"/>
    <sheet name="EXPORT" sheetId="110" state="hidden" r:id="rId4"/>
    <sheet name="Changelog" sheetId="127" state="hidden" r:id="rId5"/>
    <sheet name="LIGHTPRESCRIP" sheetId="104" state="hidden" r:id="rId6"/>
    <sheet name="DATA TABLES" sheetId="109" state="hidden" r:id="rId7"/>
    <sheet name="M06-S01" sheetId="126" state="hidden" r:id="rId8"/>
    <sheet name="M06-S01-2" sheetId="128" state="hidden" r:id="rId9"/>
    <sheet name="M06-S01-3" sheetId="129" state="hidden" r:id="rId10"/>
    <sheet name="M06-S02" sheetId="76" state="hidden" r:id="rId11"/>
    <sheet name="M01-S01" sheetId="56" r:id="rId12"/>
    <sheet name="M06-S04" sheetId="78" r:id="rId13"/>
    <sheet name="M06-S05" sheetId="79" state="hidden" r:id="rId14"/>
    <sheet name="M06-S07" sheetId="81" r:id="rId15"/>
  </sheets>
  <definedNames>
    <definedName name="ACTBONUS">TEMPLATE!$O$31</definedName>
    <definedName name="APPTITLE">TEMPLATE!$B$3</definedName>
    <definedName name="BASEHIDCOL">INDEX(BASEHID[],,BASEHIDCOLNUM)</definedName>
    <definedName name="BASEHIDCOLNUM">MATCH(#REF!,BASEHIDTYPE,0)</definedName>
    <definedName name="BASEHIDTYPE">BASEHID[#Headers]</definedName>
    <definedName name="BASEHIDWATT2">INDEX(BASEHID[],1,BASEHIDCOLNUM):INDEX(BASEHID[],COUNTA(BASEHIDCOL),BASEHIDCOLNUM)</definedName>
    <definedName name="BASEINCANDCOL">INDEX(BASEINCAND[],,BASEINCANDCOLNUM)</definedName>
    <definedName name="BASEINCANDCOLNUM">MATCH(#REF!,BASEINCANDTYPE,0)</definedName>
    <definedName name="BASEINCANDDET">INDEX(BASEINCAND[],1,BASEINCANDCOLNUM):INDEX(BASEINCAND[],COUNTA(BASEINCANDCOL),BASEINCANDCOLNUM)</definedName>
    <definedName name="BASEINCANDTYPE">BASEINCAND[#Headers]</definedName>
    <definedName name="BASEKWHALL">TEMPLATE!$F$31</definedName>
    <definedName name="BASEKWHCUSE">TEMPLATE!$F$28</definedName>
    <definedName name="BASEKWHFT">TEMPLATE!$F$30</definedName>
    <definedName name="BASEKWHPA">TEMPLATE!$F$29</definedName>
    <definedName name="BASEKWHPRESE">TEMPLATE!$F$27</definedName>
    <definedName name="BONUSADJ">TEMPLATE!$O$33</definedName>
    <definedName name="BONUSCOST">TEMPLATE!$Q$31</definedName>
    <definedName name="BUILDING">BUILDINGTYPE[Building Type]</definedName>
    <definedName name="BUSDEVELEMAIL">BUSDEVEL[Email]</definedName>
    <definedName name="BUSDEVELNAME">BUSDEVEL[Business Development Lead]</definedName>
    <definedName name="BUSDEVELPHONE">BUSDEVEL[Phone]</definedName>
    <definedName name="CBALL">TEMPLATE!$R$31</definedName>
    <definedName name="CBCUSE">TEMPLATE!$R$29</definedName>
    <definedName name="CBPRESE">TEMPLATE!$R$28</definedName>
    <definedName name="CFLEFF1">CFLEFF[Eff Desc 1]</definedName>
    <definedName name="CMEBASEWATT2">CMLIGHTBASE[Base Watt 2]</definedName>
    <definedName name="CMECOMPAIRDESC">INDEX(CMECOMPAIR[Proj Desc 1],MATCH(#REF!,CMECOMPAIR[Project Category],0),1):INDEX(CMECOMPAIR[Proj Desc 1],MATCH(#REF!,CMECOMPAIR[Project Category],1),1)</definedName>
    <definedName name="CMECOOKDESC">INDEX(CMECOOK[Proj Desc 1],MATCH(#REF!,CMECOOK[Project Category],0),1):INDEX(CMECOOK[Proj Desc 1],MATCH(#REF!,CMECOOK[Project Category],1),1)</definedName>
    <definedName name="CMEHVACDESC">INDEX(CMEHVAC[Proj Desc 1],MATCH(#REF!,CMEHVAC[Project Category],0),1):INDEX(CMEHVAC[Proj Desc 1],MATCH(#REF!,CMEHVAC[Project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1],MATCH(#REF!,CMELIGHTCON[Project Category],0),1):INDEX(CMELIGHTCON[Proj Desc 1],MATCH(#REF!,CMELIGHTCON[Project Category],1),1)</definedName>
    <definedName name="CMELIGHTDESC">CMELIGHT[Proj Desc 1]</definedName>
    <definedName name="CMELIGHTEFF1">CMLIGHTEFF[Eff Desc 1]</definedName>
    <definedName name="CMELIGHTEFFBASEW">CMLIGHTEFF[Eff Watt 1]</definedName>
    <definedName name="CMEMISCDESC">INDEX(CMEMISC[Proj Desc 1],MATCH(#REF!,CMEMISC[Project Category],0),1):INDEX(CMEMISC[Proj Desc 1],MATCH(#REF!,CMEMISC[Project Category],1),1)</definedName>
    <definedName name="CMEMOTORDESC">INDEX(CMEMOTOR[Proj Desc 1],MATCH(#REF!,CMEMOTOR[Project Category],0),1):INDEX(CMEMOTOR[Proj Desc 1],MATCH(#REF!,CMEMOTOR[Project Category],1),1)</definedName>
    <definedName name="CMEREFRIDESC">INDEX(CMEREFRI[Proj Desc 1],MATCH(#REF!,CMEREFRI[Project Category],0),1):INDEX(CMEREFRI[Proj Desc 1],MATCH(#REF!,CMEREFRI[Project Category],1),1)</definedName>
    <definedName name="COSTTOTAL">TEMPLATE!$M$31</definedName>
    <definedName name="COSTTOTALALL">TEMPLATE!$I$31</definedName>
    <definedName name="COSTTOTALALLCUSE">TEMPLATE!$I$28</definedName>
    <definedName name="COSTTOTALALLFT">TEMPLATE!$I$30</definedName>
    <definedName name="COSTTOTALALLPA">TEMPLATE!$I$29</definedName>
    <definedName name="COSTTOTALALLPRESE">TEMPLATE!$I$27</definedName>
    <definedName name="COSTTOTALCUSE">TEMPLATE!$M$28</definedName>
    <definedName name="COSTTOTALFT">TEMPLATE!$M$29</definedName>
    <definedName name="COSTTOTALPA">TEMPLATE!$M$29</definedName>
    <definedName name="COSTTOTALPRESE">TEMPLATE!$M$27</definedName>
    <definedName name="CUSTSUBAPP">'M06-S07'!$AO$20</definedName>
    <definedName name="DIVERSITYBUSTYPE">DIVERSITYTYPE[Diversity Business Type]</definedName>
    <definedName name="DIVERSITYORG">DIVERSITYISSUED[Diversity Issued Org]</definedName>
    <definedName name="EDR">CBDATA!$B$7</definedName>
    <definedName name="ELIBONUS">TEMPLATE!$N$31</definedName>
    <definedName name="ELOSS">CBDATA!$B$6</definedName>
    <definedName name="ENDUSECAT">ENDUSEALL[End Use to Coincident Peak Demand Factors]</definedName>
    <definedName name="ENGNRSNAMES">ENGNRS[Engineers]</definedName>
    <definedName name="ENGSIGN">'M06-S04'!$L$57</definedName>
    <definedName name="ENGSIGNDATE">'M06-S04'!$AE$57</definedName>
    <definedName name="EXPIRATION">'M01-S01'!$AN$231</definedName>
    <definedName name="EXPIRE">'M01-S01'!$AL$230</definedName>
    <definedName name="FOOT1">#REF!</definedName>
    <definedName name="FOOT2">#REF!</definedName>
    <definedName name="FOOT3">#REF!</definedName>
    <definedName name="FOOT4">#REF!</definedName>
    <definedName name="FOOT5">#REF!</definedName>
    <definedName name="FOOT6">#REF!</definedName>
    <definedName name="FOOTDISCLAIM">#REF!</definedName>
    <definedName name="GDR">CBDATA!$N$7</definedName>
    <definedName name="GLOSS">CBDATA!$N$6</definedName>
    <definedName name="HEARABOUT">MARKETING[Marketing]</definedName>
    <definedName name="HVACENDUSETYPE">HVACUSES[HVAC Uses]</definedName>
    <definedName name="HVACTYPE">HVACTABL[#Headers]</definedName>
    <definedName name="IMPLSPECNAME">IMPLSPEC[Impl. Specialist]</definedName>
    <definedName name="INCENEW">TEMPLATE!$P$31</definedName>
    <definedName name="INCENNEWCUS">TEMPLATE!$P$28</definedName>
    <definedName name="INCENNEWPRES">TEMPLATE!$P$27</definedName>
    <definedName name="INCENSTATUS">TEMPLATE!$F$3</definedName>
    <definedName name="INCENTCAPADJ">TEMPLATE!$F$6</definedName>
    <definedName name="INCENTOTAL">TEMPLATE!$J$31</definedName>
    <definedName name="INCENTOTALCUSE">TEMPLATE!$J$28</definedName>
    <definedName name="INCENTOTALFT">TEMPLATE!$J$30</definedName>
    <definedName name="INCENTOTALPA">TEMPLATE!$J$29</definedName>
    <definedName name="INCENTOTALPRESE">TEMPLATE!$J$27</definedName>
    <definedName name="INSTALL">INSTALLER[Installer]</definedName>
    <definedName name="INSTALLYN">INSTALLSTATUS[Column1]</definedName>
    <definedName name="KWHSTATUS">TEMPLATE!$F$1</definedName>
    <definedName name="KWHTOTAL">TEMPLATE!$K$31</definedName>
    <definedName name="KWHTOTALALL">TEMPLATE!$G$31</definedName>
    <definedName name="KWHTOTALALLCUSE">TEMPLATE!$G$28</definedName>
    <definedName name="KWHTOTALALLFT">TEMPLATE!$G$30</definedName>
    <definedName name="KWHTOTALALLPA">TEMPLATE!$G$29</definedName>
    <definedName name="KWHTOTALALLPRESE">TEMPLATE!$G$27</definedName>
    <definedName name="KWHTOTALCUSE">TEMPLATE!$K$28</definedName>
    <definedName name="KWHTOTALFT">TEMPLATE!$K$30</definedName>
    <definedName name="KWHTOTALPA">TEMPLATE!$K$29</definedName>
    <definedName name="KWHTOTALPRESE">TEMPLATE!$K$27</definedName>
    <definedName name="KWTOTAL">TEMPLATE!$L$31</definedName>
    <definedName name="KWTOTALALL">TEMPLATE!$H$31</definedName>
    <definedName name="KWTOTALALLCUSE">TEMPLATE!$H$28</definedName>
    <definedName name="KWTOTALALLFT">TEMPLATE!$H$30</definedName>
    <definedName name="KWTOTALALLPA">TEMPLATE!$H$29</definedName>
    <definedName name="KWTOTALALLPRESE">TEMPLATE!$H$27</definedName>
    <definedName name="KWTOTALCUSE">TEMPLATE!$L$28</definedName>
    <definedName name="KWTOTALFT">TEMPLATE!$L$30</definedName>
    <definedName name="KWTOTALPA">TEMPLATE!$L$29</definedName>
    <definedName name="KWTOTALPRESE">TEMPLATE!$L$27</definedName>
    <definedName name="LEDCAT">QUIKLED[#Headers]</definedName>
    <definedName name="LEDREDEFF1">LEDREDEFF[Redesign LED]</definedName>
    <definedName name="LGHTSCHEDTYPES">LGHTSCHED[Lighting Schedule]</definedName>
    <definedName name="LIGHTCAT">QUIKLIGHT[#Headers]</definedName>
    <definedName name="LIGHTHEATCOIN">'DATA TABLES'!$K$59</definedName>
    <definedName name="LIGHTING2021">'DATA TABLES'!$K$63</definedName>
    <definedName name="LIGHTRATE21">'DATA TABLES'!$K$64</definedName>
    <definedName name="LINEARUPGTYPE">LINEARUPG[#Headers]</definedName>
    <definedName name="LINFIXTCOLNUMPA">MATCH(#REF!,LINFIXTTYPE,0)</definedName>
    <definedName name="LINFIXTCOLNUMPRE">MATCH(#REF!,LINFIXTTYPE,0)</definedName>
    <definedName name="LINFIXTCOLPA">INDEX(LINFIXT[],,LINFIXTCOLNUMPA)</definedName>
    <definedName name="LINFIXTCOLPRE">INDEX(LINFIXT[],,LINFIXTCOLNUMPRE)</definedName>
    <definedName name="LINFIXTDETPA">INDEX(LINFIXT[],1,LINFIXTCOLNUMPA):INDEX(LINFIXT[],COUNTA(LINFIXTCOLPA),LINFIXTCOLNUMPA)</definedName>
    <definedName name="LINFIXTDETPRE">INDEX(LINFIXT[],1,LINFIXTCOLNUMPRE):INDEX(LINFIXT[],COUNTA(LINFIXTCOLPRE),LINFIXTCOLNUMPRE)</definedName>
    <definedName name="LINFIXTTYPE">LINFIXT[#Headers]</definedName>
    <definedName name="LINLAMPQTYFT">LEFT(INDEX(CMLIGHTBASE[Measure Subgroup 2], MATCH(#REF!,CMLIGHTBASE[Base Desc 1],0)),2)</definedName>
    <definedName name="LINLAMPQTYPA">LEFT(INDEX(CMLIGHTBASE[Measure Subgroup 2], MATCH(#REF!,CMLIGHTBASE[Base Desc 1],0)),2)</definedName>
    <definedName name="LINLEDTYPE">LINLEDREPL[Efficient Linear LEDs]</definedName>
    <definedName name="M02S01F01">'M01-S01'!$C$178</definedName>
    <definedName name="M02S01F01a">#REF!</definedName>
    <definedName name="M02S01F02">'M01-S01'!$X$178</definedName>
    <definedName name="M02S01F02a">#REF!</definedName>
    <definedName name="M02S01F03">'M01-S01'!$AL$178</definedName>
    <definedName name="M02S01F03a">#REF!</definedName>
    <definedName name="M02S01F04">'M01-S01'!$L$182</definedName>
    <definedName name="M02S01F04a">#REF!</definedName>
    <definedName name="M02S01F05">'M01-S01'!$W$181</definedName>
    <definedName name="M02S01F05a">#REF!</definedName>
    <definedName name="M02S02F01">'M01-S01'!$Q$133</definedName>
    <definedName name="M02S02F01a">#REF!</definedName>
    <definedName name="M02S02F02">'M01-S01'!$C$126</definedName>
    <definedName name="M02S02F02a">#REF!</definedName>
    <definedName name="M02S02F03">'M01-S01'!$J$126</definedName>
    <definedName name="M02S02F03a">#REF!</definedName>
    <definedName name="M02S02F04">'M01-S01'!$Q$126</definedName>
    <definedName name="M02S02F04a">#REF!</definedName>
    <definedName name="M02S02F05">'M01-S01'!$X$126</definedName>
    <definedName name="M02S02F05a">#REF!</definedName>
    <definedName name="M02S02F07">'M01-S01'!$AE$126</definedName>
    <definedName name="M02S02F07a">#REF!</definedName>
    <definedName name="M02S02F08">'M01-S01'!#REF!</definedName>
    <definedName name="M02S02F09">'M01-S01'!#REF!</definedName>
    <definedName name="M02S02F10">'M01-S01'!#REF!</definedName>
    <definedName name="M02S02F11">'M01-S01'!#REF!</definedName>
    <definedName name="M02S02F11.1">'M01-S01'!#REF!</definedName>
    <definedName name="M02S02F11.2">'M01-S01'!#REF!</definedName>
    <definedName name="M02S02F11.3">'M01-S01'!#REF!</definedName>
    <definedName name="M02S02F11.4">'M01-S01'!#REF!</definedName>
    <definedName name="M02S02F11.5">'M01-S01'!#REF!</definedName>
    <definedName name="M02S02F12">'M01-S01'!#REF!</definedName>
    <definedName name="M02S02F13">'M01-S01'!#REF!</definedName>
    <definedName name="M02S02F15">'M01-S01'!$C$133</definedName>
    <definedName name="M02S02F15a">#REF!</definedName>
    <definedName name="M02S02F16">'M01-S01'!#REF!</definedName>
    <definedName name="M02S02F17">'M01-S01'!#REF!</definedName>
    <definedName name="M02S02F18">'M01-S01'!#REF!</definedName>
    <definedName name="M02S02F19">'M01-S01'!#REF!</definedName>
    <definedName name="M02S02F21">'M01-S01'!#REF!</definedName>
    <definedName name="M02S02F22">'M01-S01'!$J$123</definedName>
    <definedName name="M02S02F22a">#REF!</definedName>
    <definedName name="M02S02F23">'M01-S01'!$Q$123</definedName>
    <definedName name="M02S02F23a">#REF!</definedName>
    <definedName name="M02S02F24">'M01-S01'!$X$123</definedName>
    <definedName name="M02S02F24a">#REF!</definedName>
    <definedName name="M02S02F25">'M01-S01'!$AE$123</definedName>
    <definedName name="M02S02F25a">#REF!</definedName>
    <definedName name="M02S02F26">'M01-S01'!$C$129</definedName>
    <definedName name="M02S02F26a">#REF!</definedName>
    <definedName name="M02S02F27">'M01-S01'!#REF!</definedName>
    <definedName name="M02S02F28">'M01-S01'!$J$129</definedName>
    <definedName name="M02S02F28a">#REF!</definedName>
    <definedName name="M02S02F29">'M01-S01'!#REF!</definedName>
    <definedName name="M02S02F30">'M01-S01'!#REF!</definedName>
    <definedName name="M02S02F31">'M01-S01'!#REF!</definedName>
    <definedName name="M02S02F32">'M01-S01'!$Q$129</definedName>
    <definedName name="M02S02F32a">#REF!</definedName>
    <definedName name="M02S02F33">'M01-S01'!#REF!</definedName>
    <definedName name="M02S02F34">'M01-S01'!#REF!</definedName>
    <definedName name="M02S02F35">'M01-S01'!$X$129</definedName>
    <definedName name="M02S02F35a">#REF!</definedName>
    <definedName name="M02S02F36">'M01-S01'!#REF!</definedName>
    <definedName name="M02S02F37">'M01-S01'!$AE$129</definedName>
    <definedName name="M02S02F37a">#REF!</definedName>
    <definedName name="M02S02F38">'M01-S01'!$AL$129</definedName>
    <definedName name="M02S02F38a">#REF!</definedName>
    <definedName name="M02S02F39">'M01-S01'!#REF!</definedName>
    <definedName name="M02S02F40">'M01-S01'!#REF!</definedName>
    <definedName name="M02S02F42">'M01-S01'!$AE$132</definedName>
    <definedName name="M02S02F43">'M01-S01'!$R$27</definedName>
    <definedName name="M02S02F43a">#REF!</definedName>
    <definedName name="M02S02F44">'M01-S01'!$D$26</definedName>
    <definedName name="M02S02F44a">#REF!</definedName>
    <definedName name="M02S02F45">#REF!</definedName>
    <definedName name="M02S02F47">'M01-S01'!$C$123</definedName>
    <definedName name="M02S02F47a">#REF!</definedName>
    <definedName name="M02S02F48">'M01-S01'!#REF!</definedName>
    <definedName name="M02S02F49">'M01-S01'!#REF!</definedName>
    <definedName name="M02S02F50">'M01-S01'!#REF!</definedName>
    <definedName name="M02S03F01">'M01-S01'!$C$20</definedName>
    <definedName name="M02S03F01a">#REF!</definedName>
    <definedName name="M02S03F02">'M01-S01'!$C$23</definedName>
    <definedName name="M02S03F02a">#REF!</definedName>
    <definedName name="M02S03F03">'M01-S01'!$J$23</definedName>
    <definedName name="M02S03F03a">#REF!</definedName>
    <definedName name="M02S03F04">'M01-S01'!$Q$23</definedName>
    <definedName name="M02S03F04a">#REF!</definedName>
    <definedName name="M02S03F05">'M01-S01'!$X$23</definedName>
    <definedName name="M02S03F05a">#REF!</definedName>
    <definedName name="M02S03F06">'M01-S01'!$AE$23</definedName>
    <definedName name="M02S03F06a">#REF!</definedName>
    <definedName name="M02S03F07">'M01-S01'!#REF!</definedName>
    <definedName name="M02S03F08">'M01-S01'!$AL$23</definedName>
    <definedName name="M02S03F08a">#REF!</definedName>
    <definedName name="M02S03F09">'M01-S01'!#REF!</definedName>
    <definedName name="M02S03F10">'M01-S01'!#REF!</definedName>
    <definedName name="M02S03F11">'M01-S01'!#REF!</definedName>
    <definedName name="M02S03F12">'M01-S01'!#REF!</definedName>
    <definedName name="M02S03F13">'M01-S01'!#REF!</definedName>
    <definedName name="M02S03F14">'M01-S01'!#REF!</definedName>
    <definedName name="M02S03F15">'M01-S01'!#REF!</definedName>
    <definedName name="M02S03F16">'M01-S01'!#REF!</definedName>
    <definedName name="M02S03F17">'M01-S01'!#REF!</definedName>
    <definedName name="M02S04F01">'M01-S01'!$C$139</definedName>
    <definedName name="M02S04F01a">#REF!</definedName>
    <definedName name="M02S04F02">'M01-S01'!$J$139</definedName>
    <definedName name="M02S04F02a">#REF!</definedName>
    <definedName name="M02S04F03">'M01-S01'!$Q$139</definedName>
    <definedName name="M02S04F03a">#REF!</definedName>
    <definedName name="M02S04F04">'M01-S01'!$X$139</definedName>
    <definedName name="M02S04F04a">#REF!</definedName>
    <definedName name="M02S04F05">'M01-S01'!$AE$139</definedName>
    <definedName name="M02S04F05a">#REF!</definedName>
    <definedName name="M02S04F06">'M01-S01'!$AL$139</definedName>
    <definedName name="M02S04F06.1">'M01-S01'!$C$142</definedName>
    <definedName name="M02S04F06.1a">#REF!</definedName>
    <definedName name="M02S04F06a">#REF!</definedName>
    <definedName name="M02S04F07">'M01-S01'!$J$142</definedName>
    <definedName name="M02S04F07a">#REF!</definedName>
    <definedName name="M02S04F08">'M01-S01'!$Q$142</definedName>
    <definedName name="M02S04F08a">#REF!</definedName>
    <definedName name="M02S04F09">'M01-S01'!$X$142</definedName>
    <definedName name="M02S04F09a">#REF!</definedName>
    <definedName name="M02S04F10">'M01-S01'!$AE$142</definedName>
    <definedName name="M02S04F10a">#REF!</definedName>
    <definedName name="M02S04F11">'M01-S01'!$C$151</definedName>
    <definedName name="M02S04F11a">#REF!</definedName>
    <definedName name="M02S04F12">'M01-S01'!$J$151</definedName>
    <definedName name="M02S04F12.1">'M01-S01'!$L$151</definedName>
    <definedName name="M02S04F12.1a">#REF!</definedName>
    <definedName name="M02S04F12a">#REF!</definedName>
    <definedName name="M02S04F13">'M01-S01'!$C$148</definedName>
    <definedName name="M02S04F14">'M01-S01'!$J$148</definedName>
    <definedName name="M02S04F15">'M01-S01'!$Q$148</definedName>
    <definedName name="M02S04F16">'M01-S01'!$X$148</definedName>
    <definedName name="M02S04F17">'M01-S01'!$AE$148</definedName>
    <definedName name="M05S02F01">'M06-S02'!$R$32</definedName>
    <definedName name="M05S02F02">'M06-S02'!$X$32</definedName>
    <definedName name="M05S02F03">'M06-S02'!$S$34</definedName>
    <definedName name="M05S07F02">'M06-S07'!$AI$21</definedName>
    <definedName name="M05S07F03">'M06-S07'!$AI$22</definedName>
    <definedName name="M05S07F04">'M06-S07'!$AI$23</definedName>
    <definedName name="M05S07F05">'M06-S07'!$AI$24</definedName>
    <definedName name="M05S07F06">'M06-S07'!$AI$25</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TEMPLATE!$B$8</definedName>
    <definedName name="MAIN3">TEMPLATE!$B$9</definedName>
    <definedName name="MAIN4">TEMPLATE!$B$10</definedName>
    <definedName name="MAIN5">TEMPLATE!$B$11</definedName>
    <definedName name="MAIN6">TEMPLATE!$B$12</definedName>
    <definedName name="MAIN7">TEMPLATE!$B$13</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TEMPLATE!$S$31</definedName>
    <definedName name="PAYCUSE">TEMPLATE!$S$29</definedName>
    <definedName name="PAYMENTTYPE">INDEX(TAPAY[],1,TAPAYCOLNUM):INDEX(TAPAY[],COUNTA(TAPAYCOL),TAPAYCOLNUM)</definedName>
    <definedName name="PAYPRESE">TEMPLATE!$S$28</definedName>
    <definedName name="PAYTO">PAYMENT[Payment to]</definedName>
    <definedName name="PEAKTD">CBDATA!$B$8</definedName>
    <definedName name="PMECOMPAIREFF1">PMECOMPAIR[Eff Desc 1]</definedName>
    <definedName name="PMECOMPAIRMAX">PMECOMPAIR[Eff HP 2]</definedName>
    <definedName name="PMECOMPAIRMIN">PMECOMPAIR[Eff HP 1]</definedName>
    <definedName name="PMEFANSMEAS">PMEFANS[Measure Type]</definedName>
    <definedName name="PMEHVACCOL">INDEX(HVACTABL[],,PMEHVACCOLNUM)</definedName>
    <definedName name="PMEHVACCOLNUM">MATCH(#REF!,HVACTYPE,0)</definedName>
    <definedName name="PMEHVACDET">INDEX(HVACTABL[],1,PMEHVACCOLNUM):INDEX(HVACTABL[],COUNTA(PMEHVACCOL),PMEHVACCOLNUM)</definedName>
    <definedName name="PMEHVACEFFMAX">PMEHVAC[Base EER 2]</definedName>
    <definedName name="PMEHVACEFFMIN">PMEHVAC[Base EER1]</definedName>
    <definedName name="PMEHVACMEAS">PMEHVAC[Measure Type]</definedName>
    <definedName name="PMEHVACSIZEMAX">PMEHVAC[Eff Ton 2]</definedName>
    <definedName name="PMEHVACSIZEMIN">PMEHVAC[Eff Ton 1]</definedName>
    <definedName name="PMEKITCHENEFF1">PMEKITCHEN[Eff Desc 1]</definedName>
    <definedName name="PMELIGHTHIDEFFMAX">PMELIGHTHID[Eff Watt 1]</definedName>
    <definedName name="PMELIGHTINCANBASEMAX">PMELIGHTINCAN[Base Watt 2]</definedName>
    <definedName name="PMELIGHTINCANBASEMIN">PMELIGHTINCAN[Base Watt 1]</definedName>
    <definedName name="PMELIGHTINCANCAT">PMELIGHTINCAN[Measure Category]</definedName>
    <definedName name="PMELIGHTINCANEFFMIN">PMELIGHTINCAN[Eff Watt 1]</definedName>
    <definedName name="PMELIGHTINCANVALID">PMELIGHTINCAN[Measure Validator]</definedName>
    <definedName name="PMELIGHTLINBASEMAX">PMELIGHTLIN[Base Watt 1]</definedName>
    <definedName name="PMELIGHTLINBASEMIN">PMELIGHTLIN[Inc Rate Unit FT]</definedName>
    <definedName name="PMELIGHTLINCAT">PMELIGHTLIN[Measure Category]</definedName>
    <definedName name="PMELIGHTLINEFFMAX">PMELIGHTLIN[Base Watt 2]</definedName>
    <definedName name="PMELINLENGTH">PMELINUPG[Replace Lamps]</definedName>
    <definedName name="PMELINUPGTYP">PMELINUPG[#Headers]</definedName>
    <definedName name="PMEMOTOREFF1">PMEMOTOR[Eff Desc 1]</definedName>
    <definedName name="PMEOCCSENEFF">PMEOCCSEN[Measure Type]</definedName>
    <definedName name="PMEOCCSENWATT">PMEOCCSEN[Watt 1]</definedName>
    <definedName name="PMEREFRIEFF1">PMEREFRI[Eff Desc 1]</definedName>
    <definedName name="PMEVFDEFF1">PMEVFD[Eff Desc 1]</definedName>
    <definedName name="PMEVFDMAXHP">PMEVFD[Eff HP 2]</definedName>
    <definedName name="PMEVFDMINHP">PMEVFD[Eff HP 1]</definedName>
    <definedName name="PNAME">TEMPLATE!$B$2</definedName>
    <definedName name="PREAPPROV2018">'DATA TABLES'!$K$61</definedName>
    <definedName name="_xlnm.Print_Area" localSheetId="7">'M06-S01'!$J$15:$AJ$76</definedName>
    <definedName name="_xlnm.Print_Area" localSheetId="8">'M06-S01-2'!$N$14:$AP$37</definedName>
    <definedName name="_xlnm.Print_Area" localSheetId="12">'M06-S04'!$J$21:$AJ$81</definedName>
    <definedName name="_xlnm.Print_Area" localSheetId="13">'M06-S05'!$J$21:$AJ$95</definedName>
    <definedName name="_xlnm.Print_Area" localSheetId="14">'M06-S07'!$C$15:$AQ$94</definedName>
    <definedName name="PROGRAM">PROGRAMS[Program]</definedName>
    <definedName name="PROGRESSSTATUS">TEMPLATE!$F$5</definedName>
    <definedName name="PROJBONUSCAP">'DATA TABLES'!$A$82</definedName>
    <definedName name="PROJFILLOUT">'DATA TABLES'!$A$81</definedName>
    <definedName name="PROJID">'M06-S07'!$AI$20</definedName>
    <definedName name="PROJSTATBOUGHT">'DATA TABLES'!$A$80</definedName>
    <definedName name="PROJSTATELI">'DATA TABLES'!$A$77</definedName>
    <definedName name="PROJSTATEXP">'DATA TABLES'!$A$76</definedName>
    <definedName name="PROJSTATMEASURE">'DATA TABLES'!$A$72</definedName>
    <definedName name="PROJSTATPREAPPROVE">'DATA TABLES'!$A$74</definedName>
    <definedName name="PROJSTATRES">'DATA TABLES'!$A$79</definedName>
    <definedName name="PROJSTATREVIEW">'DATA TABLES'!$A$75</definedName>
    <definedName name="PROJSTATSTANDARD">'DATA TABLES'!$A$73</definedName>
    <definedName name="PROJSTATUNDER">'DATA TABLES'!$A$78</definedName>
    <definedName name="PROJSTATUS">TEMPLATE!$F$4</definedName>
    <definedName name="QUIKEFFW">CMLIGHTBASE[Eff Watt 1]</definedName>
    <definedName name="QUIKLEDCOL">INDEX(QUIKLED[],,QUIKLEDCOLNUM)</definedName>
    <definedName name="QUIKLEDCOLNUM">MATCH('M01-S01'!$C1,LEDCAT,0)</definedName>
    <definedName name="QUIKLEDDET">INDEX(QUIKLED[],1,QUIKLEDCOLNUM):INDEX(QUIKLED[],COUNTA(QUIKLEDCOL),QUIKLEDCOLNUM)</definedName>
    <definedName name="QUIKLIGHTCOL">INDEX(QUIKLIGHT[],,QUIKLIGHTCOLNUM)</definedName>
    <definedName name="QUIKLIGHTCOLNUM">MATCH('M01-S01'!$C1,LIGHTCAT,0)</definedName>
    <definedName name="QUIKLIGHTDET">INDEX(QUIKLIGHT[],1,QUIKLIGHTCOLNUM):INDEX(QUIKLIGHT[],COUNTA(QUIKLIGHTCOL),QUIKLIGHTCOLNUM)</definedName>
    <definedName name="RATECAT">RATECLASS[Rate Schedules]</definedName>
    <definedName name="REDESIGNBASEDESC">REDESIGNBASE[Base Desc 1]</definedName>
    <definedName name="SBDICAP">'M01-S01'!$AV$11</definedName>
    <definedName name="SHEAT">SPACEHEAT[Space Conditioning]</definedName>
    <definedName name="STATESABBREV">STATES[Abbrev]</definedName>
    <definedName name="TAPAYCOL">INDEX(TAPAY[],,TAPAYCOLNUM)</definedName>
    <definedName name="TAPAYCOLNUM">MATCH(M02S03F01,TATYPE,0)</definedName>
    <definedName name="TATYPE">TAPAY[#Headers]</definedName>
    <definedName name="TAX">TAXENTITY[Tax Entity]</definedName>
    <definedName name="TECHCONTACT">#REF!</definedName>
    <definedName name="THERMSTATUS">TEMPLATE!$F$2</definedName>
    <definedName name="VERSION">'M01-S01'!$W$233</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2" i="56" l="1"/>
  <c r="AB34" i="56"/>
  <c r="AB36" i="56"/>
  <c r="AB38" i="56"/>
  <c r="AB40" i="56"/>
  <c r="AB42" i="56"/>
  <c r="AB52" i="56"/>
  <c r="AB54" i="56"/>
  <c r="AB56" i="56"/>
  <c r="AB58" i="56"/>
  <c r="AB60" i="56"/>
  <c r="AB62" i="56"/>
  <c r="AB64" i="56"/>
  <c r="AB66" i="56"/>
  <c r="AB68" i="56"/>
  <c r="AB70" i="56"/>
  <c r="V32" i="56"/>
  <c r="V34" i="56"/>
  <c r="V36" i="56"/>
  <c r="V38" i="56"/>
  <c r="V40" i="56"/>
  <c r="V42" i="56"/>
  <c r="J32" i="56"/>
  <c r="BB32" i="56" s="1"/>
  <c r="J34" i="56"/>
  <c r="J36" i="56"/>
  <c r="BB36" i="56" s="1"/>
  <c r="J38" i="56"/>
  <c r="J40" i="56"/>
  <c r="BB40" i="56" s="1"/>
  <c r="J42" i="56"/>
  <c r="BB42" i="56" s="1"/>
  <c r="BB34" i="56" l="1"/>
  <c r="BB38" i="56"/>
  <c r="J50" i="56"/>
  <c r="J44" i="56"/>
  <c r="J46" i="56"/>
  <c r="J48" i="56"/>
  <c r="BM32" i="56" l="1"/>
  <c r="U38" i="81"/>
  <c r="AV40" i="56" l="1"/>
  <c r="AV32" i="56"/>
  <c r="AV36" i="56"/>
  <c r="AV38" i="56"/>
  <c r="AX40" i="56"/>
  <c r="AX36" i="56"/>
  <c r="AX38" i="56"/>
  <c r="AX32" i="56"/>
  <c r="AX34" i="56" l="1"/>
  <c r="AV34" i="56"/>
  <c r="BI2" i="110"/>
  <c r="AB44" i="56"/>
  <c r="BB44" i="56" s="1"/>
  <c r="AB46" i="56"/>
  <c r="BB46" i="56" s="1"/>
  <c r="AB48" i="56"/>
  <c r="BB48" i="56" s="1"/>
  <c r="V44" i="56"/>
  <c r="V46" i="56"/>
  <c r="V48" i="56"/>
  <c r="V50" i="56"/>
  <c r="BM44" i="56" l="1"/>
  <c r="BJ44" i="56"/>
  <c r="BH44" i="56" s="1"/>
  <c r="BQ44" i="56"/>
  <c r="BP44" i="56"/>
  <c r="BJ48" i="56"/>
  <c r="BH48" i="56" s="1"/>
  <c r="BP48" i="56"/>
  <c r="BQ48" i="56"/>
  <c r="BM48" i="56"/>
  <c r="BJ46" i="56"/>
  <c r="BH46" i="56" s="1"/>
  <c r="BQ46" i="56"/>
  <c r="BP46" i="56"/>
  <c r="BM46" i="56"/>
  <c r="AX48" i="56"/>
  <c r="AV48" i="56"/>
  <c r="AX46" i="56"/>
  <c r="AV46" i="56"/>
  <c r="AV44" i="56"/>
  <c r="AX44" i="56"/>
  <c r="AB50" i="56"/>
  <c r="BB50" i="56" s="1"/>
  <c r="J142" i="56"/>
  <c r="AX50" i="56" l="1"/>
  <c r="BQ50" i="56"/>
  <c r="BP50" i="56"/>
  <c r="BM50" i="56"/>
  <c r="BJ50" i="56"/>
  <c r="BH50" i="56" s="1"/>
  <c r="AV50" i="56"/>
  <c r="AD5" i="110"/>
  <c r="S8" i="110"/>
  <c r="A5" i="110"/>
  <c r="F5" i="110" a="1"/>
  <c r="F5" i="110" s="1"/>
  <c r="H5" i="110" a="1"/>
  <c r="H5" i="110" s="1"/>
  <c r="I5" i="110" a="1"/>
  <c r="I5" i="110" s="1"/>
  <c r="T5" i="110"/>
  <c r="U5" i="110" a="1"/>
  <c r="U5" i="110" s="1"/>
  <c r="V5" i="110"/>
  <c r="W5" i="110"/>
  <c r="A6" i="110"/>
  <c r="F6" i="110" a="1"/>
  <c r="F6" i="110" s="1"/>
  <c r="H6" i="110" a="1"/>
  <c r="H6" i="110" s="1"/>
  <c r="I6" i="110" a="1"/>
  <c r="I6" i="110" s="1"/>
  <c r="T6" i="110"/>
  <c r="U6" i="110" a="1"/>
  <c r="U6" i="110" s="1"/>
  <c r="V6" i="110"/>
  <c r="W6" i="110"/>
  <c r="A7" i="110"/>
  <c r="F7" i="110" a="1"/>
  <c r="F7" i="110" s="1"/>
  <c r="H7" i="110" a="1"/>
  <c r="H7" i="110" s="1"/>
  <c r="I7" i="110" a="1"/>
  <c r="I7" i="110" s="1"/>
  <c r="T7" i="110"/>
  <c r="U7" i="110" a="1"/>
  <c r="U7" i="110" s="1"/>
  <c r="V7" i="110"/>
  <c r="W7" i="110"/>
  <c r="A8" i="110"/>
  <c r="F8" i="110" a="1"/>
  <c r="F8" i="110" s="1"/>
  <c r="H8" i="110" a="1"/>
  <c r="H8" i="110" s="1"/>
  <c r="I8" i="110" a="1"/>
  <c r="I8" i="110" s="1"/>
  <c r="T8" i="110"/>
  <c r="U8" i="110" a="1"/>
  <c r="U8" i="110" s="1"/>
  <c r="V8" i="110"/>
  <c r="W8" i="110"/>
  <c r="A9" i="110"/>
  <c r="F9" i="110" a="1"/>
  <c r="F9" i="110" s="1"/>
  <c r="H9" i="110" a="1"/>
  <c r="H9" i="110" s="1"/>
  <c r="I9" i="110" a="1"/>
  <c r="I9" i="110" s="1"/>
  <c r="T9" i="110"/>
  <c r="U9" i="110" a="1"/>
  <c r="U9" i="110" s="1"/>
  <c r="V9" i="110"/>
  <c r="W9" i="110"/>
  <c r="A10" i="110"/>
  <c r="F10" i="110" a="1"/>
  <c r="F10" i="110" s="1"/>
  <c r="H10" i="110" a="1"/>
  <c r="H10" i="110" s="1"/>
  <c r="I10" i="110" a="1"/>
  <c r="I10" i="110" s="1"/>
  <c r="T10" i="110"/>
  <c r="U10" i="110" a="1"/>
  <c r="U10" i="110" s="1"/>
  <c r="V10" i="110"/>
  <c r="W10" i="110"/>
  <c r="A11" i="110"/>
  <c r="F11" i="110" a="1"/>
  <c r="F11" i="110" s="1"/>
  <c r="H11" i="110" a="1"/>
  <c r="H11" i="110" s="1"/>
  <c r="I11" i="110" a="1"/>
  <c r="I11" i="110" s="1"/>
  <c r="T11" i="110"/>
  <c r="U11" i="110" a="1"/>
  <c r="U11" i="110" s="1"/>
  <c r="V11" i="110"/>
  <c r="W11" i="110"/>
  <c r="A12" i="110"/>
  <c r="F12" i="110" a="1"/>
  <c r="F12" i="110" s="1"/>
  <c r="H12" i="110" a="1"/>
  <c r="H12" i="110" s="1"/>
  <c r="I12" i="110" a="1"/>
  <c r="I12" i="110" s="1"/>
  <c r="T12" i="110"/>
  <c r="U12" i="110" a="1"/>
  <c r="U12" i="110" s="1"/>
  <c r="V12" i="110"/>
  <c r="W12" i="110"/>
  <c r="A13" i="110"/>
  <c r="F13" i="110" a="1"/>
  <c r="F13" i="110" s="1"/>
  <c r="H13" i="110" a="1"/>
  <c r="H13" i="110" s="1"/>
  <c r="I13" i="110" a="1"/>
  <c r="I13" i="110" s="1"/>
  <c r="T13" i="110"/>
  <c r="U13" i="110" a="1"/>
  <c r="U13" i="110" s="1"/>
  <c r="V13" i="110"/>
  <c r="W13" i="110"/>
  <c r="A14" i="110"/>
  <c r="F14" i="110" a="1"/>
  <c r="F14" i="110" s="1"/>
  <c r="H14" i="110" a="1"/>
  <c r="H14" i="110" s="1"/>
  <c r="I14" i="110" a="1"/>
  <c r="I14" i="110" s="1"/>
  <c r="T14" i="110"/>
  <c r="U14" i="110" a="1"/>
  <c r="U14" i="110" s="1"/>
  <c r="V14" i="110"/>
  <c r="W14" i="110"/>
  <c r="A15" i="110"/>
  <c r="F15" i="110" a="1"/>
  <c r="F15" i="110" s="1"/>
  <c r="H15" i="110" a="1"/>
  <c r="H15" i="110" s="1"/>
  <c r="I15" i="110" a="1"/>
  <c r="I15" i="110" s="1"/>
  <c r="T15" i="110"/>
  <c r="U15" i="110" a="1"/>
  <c r="U15" i="110" s="1"/>
  <c r="V15" i="110"/>
  <c r="W15" i="110"/>
  <c r="A16" i="110"/>
  <c r="F16" i="110" a="1"/>
  <c r="F16" i="110" s="1"/>
  <c r="H16" i="110" a="1"/>
  <c r="H16" i="110" s="1"/>
  <c r="I16" i="110" a="1"/>
  <c r="I16" i="110" s="1"/>
  <c r="T16" i="110"/>
  <c r="U16" i="110" a="1"/>
  <c r="U16" i="110" s="1"/>
  <c r="V16" i="110"/>
  <c r="W16" i="110"/>
  <c r="A17" i="110"/>
  <c r="F17" i="110" a="1"/>
  <c r="F17" i="110" s="1"/>
  <c r="H17" i="110" a="1"/>
  <c r="H17" i="110" s="1"/>
  <c r="I17" i="110" a="1"/>
  <c r="I17" i="110" s="1"/>
  <c r="T17" i="110"/>
  <c r="U17" i="110" a="1"/>
  <c r="U17" i="110" s="1"/>
  <c r="V17" i="110"/>
  <c r="W17" i="110"/>
  <c r="A18" i="110"/>
  <c r="F18" i="110" a="1"/>
  <c r="F18" i="110" s="1"/>
  <c r="H18" i="110" a="1"/>
  <c r="H18" i="110" s="1"/>
  <c r="I18" i="110" a="1"/>
  <c r="I18" i="110" s="1"/>
  <c r="T18" i="110"/>
  <c r="U18" i="110" a="1"/>
  <c r="U18" i="110" s="1"/>
  <c r="V18" i="110"/>
  <c r="W18" i="110"/>
  <c r="A19" i="110"/>
  <c r="F19" i="110" a="1"/>
  <c r="F19" i="110" s="1"/>
  <c r="H19" i="110" a="1"/>
  <c r="H19" i="110" s="1"/>
  <c r="I19" i="110" a="1"/>
  <c r="I19" i="110" s="1"/>
  <c r="T19" i="110"/>
  <c r="U19" i="110" a="1"/>
  <c r="U19" i="110" s="1"/>
  <c r="V19" i="110"/>
  <c r="W19" i="110"/>
  <c r="A20" i="110"/>
  <c r="F20" i="110" a="1"/>
  <c r="F20" i="110" s="1"/>
  <c r="H20" i="110" a="1"/>
  <c r="H20" i="110" s="1"/>
  <c r="I20" i="110" a="1"/>
  <c r="I20" i="110" s="1"/>
  <c r="T20" i="110"/>
  <c r="U20" i="110" a="1"/>
  <c r="U20" i="110" s="1"/>
  <c r="V20" i="110"/>
  <c r="W20" i="110"/>
  <c r="A21" i="110"/>
  <c r="F21" i="110" a="1"/>
  <c r="F21" i="110" s="1"/>
  <c r="H21" i="110" a="1"/>
  <c r="H21" i="110" s="1"/>
  <c r="I21" i="110" a="1"/>
  <c r="I21" i="110" s="1"/>
  <c r="T21" i="110"/>
  <c r="U21" i="110" a="1"/>
  <c r="U21" i="110" s="1"/>
  <c r="V21" i="110"/>
  <c r="W21" i="110"/>
  <c r="A22" i="110"/>
  <c r="F22" i="110" a="1"/>
  <c r="F22" i="110" s="1"/>
  <c r="H22" i="110" a="1"/>
  <c r="H22" i="110" s="1"/>
  <c r="I22" i="110" a="1"/>
  <c r="I22" i="110" s="1"/>
  <c r="T22" i="110"/>
  <c r="U22" i="110" a="1"/>
  <c r="U22" i="110" s="1"/>
  <c r="V22" i="110"/>
  <c r="W22" i="110"/>
  <c r="A23" i="110"/>
  <c r="F23" i="110" a="1"/>
  <c r="F23" i="110" s="1"/>
  <c r="H23" i="110" a="1"/>
  <c r="H23" i="110" s="1"/>
  <c r="I23" i="110" a="1"/>
  <c r="I23" i="110" s="1"/>
  <c r="T23" i="110"/>
  <c r="U23" i="110" a="1"/>
  <c r="U23" i="110" s="1"/>
  <c r="V23" i="110"/>
  <c r="W23" i="110"/>
  <c r="T4" i="110"/>
  <c r="I4" i="110" a="1"/>
  <c r="I4" i="110" s="1"/>
  <c r="H4" i="110" a="1"/>
  <c r="H4" i="110" s="1"/>
  <c r="F4" i="110" a="1"/>
  <c r="F4" i="110" s="1"/>
  <c r="Y5" i="110"/>
  <c r="Z5" i="110" a="1"/>
  <c r="Z5" i="110" s="1"/>
  <c r="AA5" i="110" a="1"/>
  <c r="AA5" i="110" s="1"/>
  <c r="AB5" i="110" a="1"/>
  <c r="AB5" i="110" s="1"/>
  <c r="AO5" i="110" a="1"/>
  <c r="AO5" i="110" s="1"/>
  <c r="AP5" i="110" a="1"/>
  <c r="AP5" i="110" s="1"/>
  <c r="Y6" i="110"/>
  <c r="Z6" i="110" a="1"/>
  <c r="Z6" i="110" s="1"/>
  <c r="AA6" i="110" a="1"/>
  <c r="AA6" i="110" s="1"/>
  <c r="AB6" i="110" a="1"/>
  <c r="AB6" i="110" s="1"/>
  <c r="AO6" i="110" a="1"/>
  <c r="AO6" i="110" s="1"/>
  <c r="AP6" i="110" a="1"/>
  <c r="AP6" i="110" s="1"/>
  <c r="Y7" i="110"/>
  <c r="Z7" i="110" a="1"/>
  <c r="Z7" i="110" s="1"/>
  <c r="AA7" i="110" a="1"/>
  <c r="AA7" i="110" s="1"/>
  <c r="AB7" i="110" a="1"/>
  <c r="AB7" i="110" s="1"/>
  <c r="AO7" i="110" a="1"/>
  <c r="AO7" i="110" s="1"/>
  <c r="AP7" i="110" a="1"/>
  <c r="AP7" i="110" s="1"/>
  <c r="Y8" i="110"/>
  <c r="Z8" i="110" a="1"/>
  <c r="Z8" i="110" s="1"/>
  <c r="AA8" i="110" a="1"/>
  <c r="AA8" i="110" s="1"/>
  <c r="AB8" i="110" a="1"/>
  <c r="AB8" i="110" s="1"/>
  <c r="AO8" i="110" a="1"/>
  <c r="AO8" i="110" s="1"/>
  <c r="AP8" i="110" a="1"/>
  <c r="AP8" i="110" s="1"/>
  <c r="Y9" i="110"/>
  <c r="Z9" i="110" a="1"/>
  <c r="Z9" i="110" s="1"/>
  <c r="AA9" i="110" a="1"/>
  <c r="AA9" i="110" s="1"/>
  <c r="AB9" i="110" a="1"/>
  <c r="AB9" i="110" s="1"/>
  <c r="AO9" i="110" a="1"/>
  <c r="AO9" i="110" s="1"/>
  <c r="AP9" i="110" a="1"/>
  <c r="AP9" i="110" s="1"/>
  <c r="Y10" i="110"/>
  <c r="Z10" i="110" a="1"/>
  <c r="Z10" i="110" s="1"/>
  <c r="AA10" i="110" a="1"/>
  <c r="AA10" i="110" s="1"/>
  <c r="AB10" i="110" a="1"/>
  <c r="AB10" i="110" s="1"/>
  <c r="AO10" i="110" a="1"/>
  <c r="AO10" i="110" s="1"/>
  <c r="AP10" i="110" a="1"/>
  <c r="AP10" i="110" s="1"/>
  <c r="Y11" i="110"/>
  <c r="Z11" i="110" a="1"/>
  <c r="Z11" i="110" s="1"/>
  <c r="AA11" i="110" a="1"/>
  <c r="AA11" i="110" s="1"/>
  <c r="AB11" i="110" a="1"/>
  <c r="AB11" i="110" s="1"/>
  <c r="AO11" i="110" a="1"/>
  <c r="AO11" i="110" s="1"/>
  <c r="AP11" i="110" a="1"/>
  <c r="AP11" i="110" s="1"/>
  <c r="Y12" i="110"/>
  <c r="Z12" i="110" a="1"/>
  <c r="Z12" i="110" s="1"/>
  <c r="AA12" i="110" a="1"/>
  <c r="AA12" i="110" s="1"/>
  <c r="AB12" i="110" a="1"/>
  <c r="AB12" i="110" s="1"/>
  <c r="AO12" i="110" a="1"/>
  <c r="AO12" i="110" s="1"/>
  <c r="AP12" i="110" a="1"/>
  <c r="AP12" i="110" s="1"/>
  <c r="Y13" i="110"/>
  <c r="Z13" i="110" a="1"/>
  <c r="Z13" i="110" s="1"/>
  <c r="AA13" i="110" a="1"/>
  <c r="AA13" i="110" s="1"/>
  <c r="AB13" i="110" a="1"/>
  <c r="AB13" i="110" s="1"/>
  <c r="AO13" i="110" a="1"/>
  <c r="AO13" i="110" s="1"/>
  <c r="AP13" i="110" a="1"/>
  <c r="AP13" i="110" s="1"/>
  <c r="Y14" i="110"/>
  <c r="Z14" i="110" a="1"/>
  <c r="Z14" i="110" s="1"/>
  <c r="AA14" i="110" a="1"/>
  <c r="AA14" i="110" s="1"/>
  <c r="AB14" i="110" a="1"/>
  <c r="AB14" i="110" s="1"/>
  <c r="AO14" i="110" a="1"/>
  <c r="AO14" i="110" s="1"/>
  <c r="AP14" i="110" a="1"/>
  <c r="AP14" i="110" s="1"/>
  <c r="Y15" i="110"/>
  <c r="Z15" i="110" a="1"/>
  <c r="Z15" i="110" s="1"/>
  <c r="AA15" i="110" a="1"/>
  <c r="AA15" i="110" s="1"/>
  <c r="AB15" i="110" a="1"/>
  <c r="AB15" i="110" s="1"/>
  <c r="AO15" i="110" a="1"/>
  <c r="AO15" i="110" s="1"/>
  <c r="AP15" i="110" a="1"/>
  <c r="AP15" i="110" s="1"/>
  <c r="Y16" i="110"/>
  <c r="Z16" i="110" a="1"/>
  <c r="Z16" i="110" s="1"/>
  <c r="AA16" i="110" a="1"/>
  <c r="AA16" i="110" s="1"/>
  <c r="AB16" i="110" a="1"/>
  <c r="AB16" i="110" s="1"/>
  <c r="AO16" i="110" a="1"/>
  <c r="AO16" i="110" s="1"/>
  <c r="AP16" i="110" a="1"/>
  <c r="AP16" i="110" s="1"/>
  <c r="Y17" i="110"/>
  <c r="Z17" i="110" a="1"/>
  <c r="Z17" i="110" s="1"/>
  <c r="AA17" i="110" a="1"/>
  <c r="AA17" i="110" s="1"/>
  <c r="AB17" i="110" a="1"/>
  <c r="AB17" i="110" s="1"/>
  <c r="AO17" i="110" a="1"/>
  <c r="AO17" i="110" s="1"/>
  <c r="AP17" i="110" a="1"/>
  <c r="AP17" i="110" s="1"/>
  <c r="Y18" i="110"/>
  <c r="Z18" i="110" a="1"/>
  <c r="Z18" i="110" s="1"/>
  <c r="AA18" i="110" a="1"/>
  <c r="AA18" i="110" s="1"/>
  <c r="AB18" i="110" a="1"/>
  <c r="AB18" i="110" s="1"/>
  <c r="AO18" i="110" a="1"/>
  <c r="AO18" i="110" s="1"/>
  <c r="AP18" i="110" a="1"/>
  <c r="AP18" i="110" s="1"/>
  <c r="Y19" i="110"/>
  <c r="Z19" i="110" a="1"/>
  <c r="Z19" i="110" s="1"/>
  <c r="AA19" i="110" a="1"/>
  <c r="AA19" i="110" s="1"/>
  <c r="AB19" i="110" a="1"/>
  <c r="AB19" i="110" s="1"/>
  <c r="AO19" i="110" a="1"/>
  <c r="AO19" i="110" s="1"/>
  <c r="AP19" i="110" a="1"/>
  <c r="AP19" i="110" s="1"/>
  <c r="Y20" i="110"/>
  <c r="Z20" i="110" a="1"/>
  <c r="Z20" i="110" s="1"/>
  <c r="AA20" i="110" a="1"/>
  <c r="AA20" i="110" s="1"/>
  <c r="AB20" i="110" a="1"/>
  <c r="AB20" i="110" s="1"/>
  <c r="AO20" i="110" a="1"/>
  <c r="AO20" i="110" s="1"/>
  <c r="AP20" i="110" a="1"/>
  <c r="AP20" i="110" s="1"/>
  <c r="Y21" i="110"/>
  <c r="Z21" i="110" a="1"/>
  <c r="Z21" i="110" s="1"/>
  <c r="AA21" i="110" a="1"/>
  <c r="AA21" i="110" s="1"/>
  <c r="AB21" i="110" a="1"/>
  <c r="AB21" i="110" s="1"/>
  <c r="AO21" i="110" a="1"/>
  <c r="AO21" i="110" s="1"/>
  <c r="AP21" i="110" a="1"/>
  <c r="AP21" i="110" s="1"/>
  <c r="Y22" i="110"/>
  <c r="Z22" i="110" a="1"/>
  <c r="Z22" i="110" s="1"/>
  <c r="AA22" i="110" a="1"/>
  <c r="AA22" i="110" s="1"/>
  <c r="AB22" i="110" a="1"/>
  <c r="AB22" i="110" s="1"/>
  <c r="AO22" i="110" a="1"/>
  <c r="AO22" i="110" s="1"/>
  <c r="AP22" i="110" a="1"/>
  <c r="AP22" i="110" s="1"/>
  <c r="Y23" i="110"/>
  <c r="Z23" i="110" a="1"/>
  <c r="Z23" i="110" s="1"/>
  <c r="AA23" i="110" a="1"/>
  <c r="AA23" i="110" s="1"/>
  <c r="AB23" i="110" a="1"/>
  <c r="AB23" i="110" s="1"/>
  <c r="AO23" i="110" a="1"/>
  <c r="AO23" i="110" s="1"/>
  <c r="AP23" i="110" a="1"/>
  <c r="AP23" i="110" s="1"/>
  <c r="AO4" i="110" a="1"/>
  <c r="AO4" i="110" s="1"/>
  <c r="AB4" i="110" a="1"/>
  <c r="AB4" i="110" s="1"/>
  <c r="AA4" i="110" a="1"/>
  <c r="AA4" i="110" s="1"/>
  <c r="Z4" i="110" a="1"/>
  <c r="Z4" i="110" s="1"/>
  <c r="Y4" i="110"/>
  <c r="W4" i="110"/>
  <c r="V4" i="110"/>
  <c r="AZ20" i="56"/>
  <c r="AY22" i="56"/>
  <c r="AY21" i="56"/>
  <c r="AY20" i="56"/>
  <c r="AD9" i="110" l="1"/>
  <c r="AD10" i="110"/>
  <c r="AD11" i="110"/>
  <c r="AD12" i="110"/>
  <c r="AD13" i="110"/>
  <c r="V52" i="56"/>
  <c r="AD14" i="110" s="1"/>
  <c r="V54" i="56"/>
  <c r="AD15" i="110" s="1"/>
  <c r="V56" i="56"/>
  <c r="AD16" i="110" s="1"/>
  <c r="V58" i="56"/>
  <c r="AD17" i="110" s="1"/>
  <c r="V60" i="56"/>
  <c r="AD18" i="110" s="1"/>
  <c r="V62" i="56"/>
  <c r="AD19" i="110" s="1"/>
  <c r="V64" i="56"/>
  <c r="AD20" i="110" s="1"/>
  <c r="V66" i="56"/>
  <c r="AD21" i="110" s="1"/>
  <c r="V68" i="56"/>
  <c r="AD22" i="110" s="1"/>
  <c r="V70" i="56"/>
  <c r="AD23" i="110" s="1"/>
  <c r="J52" i="56"/>
  <c r="AN52" i="56" s="1"/>
  <c r="J54" i="56"/>
  <c r="AN54" i="56" s="1"/>
  <c r="J56" i="56"/>
  <c r="AN56" i="56" s="1"/>
  <c r="J58" i="56"/>
  <c r="AN58" i="56" s="1"/>
  <c r="J60" i="56"/>
  <c r="AN60" i="56" s="1"/>
  <c r="J62" i="56"/>
  <c r="AN62" i="56" s="1"/>
  <c r="J64" i="56"/>
  <c r="AN64" i="56" s="1"/>
  <c r="J66" i="56"/>
  <c r="AN66" i="56" s="1"/>
  <c r="J68" i="56"/>
  <c r="AN68" i="56" s="1"/>
  <c r="J70" i="56"/>
  <c r="AN70" i="56" s="1"/>
  <c r="AV42" i="56" l="1"/>
  <c r="AX42" i="56"/>
  <c r="BB58" i="56"/>
  <c r="AE17" i="110"/>
  <c r="BB52" i="56"/>
  <c r="BB54" i="56"/>
  <c r="BB68" i="56"/>
  <c r="BB64" i="56"/>
  <c r="BB66" i="56"/>
  <c r="BB62" i="56"/>
  <c r="N19" i="110" a="1"/>
  <c r="N19" i="110" s="1"/>
  <c r="BB56" i="56"/>
  <c r="R16" i="110"/>
  <c r="BB60" i="56"/>
  <c r="O18" i="110" a="1"/>
  <c r="O18" i="110" s="1"/>
  <c r="S10" i="110"/>
  <c r="S9" i="110"/>
  <c r="S13" i="110"/>
  <c r="S12" i="110"/>
  <c r="S11" i="110"/>
  <c r="S23" i="110"/>
  <c r="BB70" i="56"/>
  <c r="O20" i="110" a="1"/>
  <c r="O20" i="110" s="1"/>
  <c r="S20" i="110"/>
  <c r="S18" i="110"/>
  <c r="N17" i="110" a="1"/>
  <c r="N17" i="110" s="1"/>
  <c r="S17" i="110"/>
  <c r="S16" i="110"/>
  <c r="M15" i="110" a="1"/>
  <c r="M15" i="110" s="1"/>
  <c r="S15" i="110"/>
  <c r="S14" i="110"/>
  <c r="S19" i="110"/>
  <c r="R22" i="110"/>
  <c r="S22" i="110"/>
  <c r="AE21" i="110"/>
  <c r="S21" i="110"/>
  <c r="L17" i="110"/>
  <c r="M17" i="110" a="1"/>
  <c r="M17" i="110" s="1"/>
  <c r="M18" i="110" a="1"/>
  <c r="M18" i="110" s="1"/>
  <c r="O23" i="110" a="1"/>
  <c r="O23" i="110" s="1"/>
  <c r="AE23" i="110"/>
  <c r="L23" i="110"/>
  <c r="M23" i="110" a="1"/>
  <c r="M23" i="110" s="1"/>
  <c r="N23" i="110" a="1"/>
  <c r="N23" i="110" s="1"/>
  <c r="R23" i="110"/>
  <c r="AE22" i="110"/>
  <c r="AD4" i="110"/>
  <c r="S4" i="110"/>
  <c r="O22" i="110" l="1" a="1"/>
  <c r="O22" i="110" s="1"/>
  <c r="O21" i="110" a="1"/>
  <c r="O21" i="110" s="1"/>
  <c r="N22" i="110" a="1"/>
  <c r="N22" i="110" s="1"/>
  <c r="R17" i="110"/>
  <c r="L22" i="110"/>
  <c r="L18" i="110"/>
  <c r="AL18" i="110" s="1"/>
  <c r="O17" i="110" a="1"/>
  <c r="O17" i="110" s="1"/>
  <c r="AJ17" i="110" s="1"/>
  <c r="N20" i="110" a="1"/>
  <c r="N20" i="110" s="1"/>
  <c r="AK20" i="110" s="1"/>
  <c r="M21" i="110" a="1"/>
  <c r="M21" i="110" s="1"/>
  <c r="R21" i="110"/>
  <c r="O16" i="110" a="1"/>
  <c r="O16" i="110" s="1"/>
  <c r="N16" i="110" a="1"/>
  <c r="N16" i="110" s="1"/>
  <c r="S6" i="110"/>
  <c r="N21" i="110" a="1"/>
  <c r="N21" i="110" s="1"/>
  <c r="AE16" i="110"/>
  <c r="S5" i="110"/>
  <c r="L21" i="110"/>
  <c r="S7" i="110"/>
  <c r="O15" i="110" a="1"/>
  <c r="O15" i="110" s="1"/>
  <c r="AJ15" i="110" s="1"/>
  <c r="AE15" i="110"/>
  <c r="R15" i="110"/>
  <c r="AE19" i="110"/>
  <c r="L15" i="110"/>
  <c r="M16" i="110" a="1"/>
  <c r="M16" i="110" s="1"/>
  <c r="L16" i="110"/>
  <c r="N15" i="110" a="1"/>
  <c r="N15" i="110" s="1"/>
  <c r="AE20" i="110"/>
  <c r="N18" i="110" a="1"/>
  <c r="N18" i="110" s="1"/>
  <c r="AK18" i="110" s="1"/>
  <c r="R19" i="110"/>
  <c r="N14" i="110" a="1"/>
  <c r="N14" i="110" s="1"/>
  <c r="O19" i="110" a="1"/>
  <c r="O19" i="110" s="1"/>
  <c r="AK19" i="110" s="1"/>
  <c r="O14" i="110" a="1"/>
  <c r="O14" i="110" s="1"/>
  <c r="AE14" i="110"/>
  <c r="M19" i="110" a="1"/>
  <c r="M19" i="110" s="1"/>
  <c r="M14" i="110" a="1"/>
  <c r="M14" i="110" s="1"/>
  <c r="L19" i="110"/>
  <c r="M22" i="110" a="1"/>
  <c r="M22" i="110" s="1"/>
  <c r="M20" i="110" a="1"/>
  <c r="M20" i="110" s="1"/>
  <c r="AJ20" i="110" s="1"/>
  <c r="L14" i="110"/>
  <c r="AE18" i="110"/>
  <c r="L20" i="110"/>
  <c r="AL20" i="110" s="1"/>
  <c r="R14" i="110"/>
  <c r="R20" i="110"/>
  <c r="R18" i="110"/>
  <c r="AJ18" i="110"/>
  <c r="AK23" i="110"/>
  <c r="AJ23" i="110"/>
  <c r="AL23" i="110"/>
  <c r="EA2" i="110"/>
  <c r="DZ2" i="110"/>
  <c r="DY2" i="110"/>
  <c r="DX2" i="110"/>
  <c r="DW2" i="110"/>
  <c r="AU19" i="56"/>
  <c r="AP4" i="110" a="1"/>
  <c r="AP4" i="110" s="1"/>
  <c r="AZ36" i="56"/>
  <c r="AZ38" i="56"/>
  <c r="AZ40" i="56"/>
  <c r="AZ42" i="56"/>
  <c r="AZ44" i="56"/>
  <c r="AZ46" i="56"/>
  <c r="AZ48" i="56"/>
  <c r="AZ50" i="56"/>
  <c r="AZ52" i="56"/>
  <c r="AZ54" i="56"/>
  <c r="AZ56" i="56"/>
  <c r="AZ58" i="56"/>
  <c r="AZ60" i="56"/>
  <c r="AZ62" i="56"/>
  <c r="AZ64" i="56"/>
  <c r="AZ66" i="56"/>
  <c r="AZ68" i="56"/>
  <c r="AZ70" i="56"/>
  <c r="AZ32" i="56"/>
  <c r="AT36" i="56"/>
  <c r="J6" i="110" s="1" a="1"/>
  <c r="J6" i="110" s="1"/>
  <c r="AD6" i="110"/>
  <c r="AD7" i="110"/>
  <c r="AD8" i="110"/>
  <c r="AV54" i="56"/>
  <c r="AF15" i="110" s="1"/>
  <c r="AJ56" i="56"/>
  <c r="AT60" i="56"/>
  <c r="J18" i="110" s="1" a="1"/>
  <c r="J18" i="110" s="1"/>
  <c r="C18" i="110" s="1" a="1"/>
  <c r="C18" i="110" s="1"/>
  <c r="B18" i="110" s="1"/>
  <c r="E18" i="110" s="1"/>
  <c r="AJ62" i="56"/>
  <c r="AJ68" i="56"/>
  <c r="AZ34" i="56"/>
  <c r="C124" i="3"/>
  <c r="D125" i="3"/>
  <c r="B126" i="3"/>
  <c r="C125" i="3"/>
  <c r="B124" i="3"/>
  <c r="C127" i="3"/>
  <c r="E127" i="3"/>
  <c r="E124" i="3"/>
  <c r="E126" i="3"/>
  <c r="D128" i="3"/>
  <c r="C126" i="3"/>
  <c r="C128" i="3"/>
  <c r="E128" i="3"/>
  <c r="D126" i="3"/>
  <c r="D127" i="3"/>
  <c r="B127" i="3"/>
  <c r="B125" i="3"/>
  <c r="E125" i="3"/>
  <c r="B128" i="3"/>
  <c r="D124" i="3"/>
  <c r="AL17" i="110" l="1"/>
  <c r="AL15" i="110"/>
  <c r="AK22" i="110"/>
  <c r="AK17" i="110"/>
  <c r="AK15" i="110"/>
  <c r="AL16" i="110"/>
  <c r="AK16" i="110"/>
  <c r="AL22" i="110"/>
  <c r="AJ21" i="110"/>
  <c r="AK21" i="110"/>
  <c r="AL21" i="110"/>
  <c r="AJ14" i="110"/>
  <c r="AL14" i="110"/>
  <c r="AJ16" i="110"/>
  <c r="BA34" i="56"/>
  <c r="AH15" i="110"/>
  <c r="AJ19" i="110"/>
  <c r="AK14" i="110"/>
  <c r="AL19" i="110"/>
  <c r="AQ22" i="110"/>
  <c r="P22" i="110"/>
  <c r="AQ19" i="110"/>
  <c r="P19" i="110"/>
  <c r="AJ22" i="110"/>
  <c r="AN18" i="110"/>
  <c r="AQ16" i="110"/>
  <c r="P16" i="110"/>
  <c r="AJ70" i="56"/>
  <c r="BI58" i="56"/>
  <c r="BI60" i="56"/>
  <c r="BI54" i="56"/>
  <c r="BI66" i="56"/>
  <c r="BA32" i="56"/>
  <c r="BI62" i="56"/>
  <c r="BI56" i="56"/>
  <c r="BI52" i="56"/>
  <c r="BI70" i="56"/>
  <c r="BI68" i="56"/>
  <c r="BI64" i="56"/>
  <c r="AJ52" i="56"/>
  <c r="AW56" i="56"/>
  <c r="AG16" i="110" s="1"/>
  <c r="AI16" i="110" s="1"/>
  <c r="AU56" i="56"/>
  <c r="Q16" i="110" s="1"/>
  <c r="AW40" i="56"/>
  <c r="AG8" i="110" s="1"/>
  <c r="AI8" i="110" s="1"/>
  <c r="AT68" i="56"/>
  <c r="J22" i="110" s="1" a="1"/>
  <c r="J22" i="110" s="1"/>
  <c r="C22" i="110" s="1" a="1"/>
  <c r="C22" i="110" s="1"/>
  <c r="B22" i="110" s="1"/>
  <c r="E22" i="110" s="1"/>
  <c r="AW38" i="56"/>
  <c r="AG7" i="110" s="1"/>
  <c r="AI7" i="110" s="1"/>
  <c r="AY48" i="56"/>
  <c r="BA44" i="56"/>
  <c r="BG62" i="56"/>
  <c r="BH70" i="56"/>
  <c r="BF70" i="56" s="1"/>
  <c r="BA56" i="56"/>
  <c r="BH68" i="56"/>
  <c r="BF68" i="56" s="1"/>
  <c r="AY50" i="56"/>
  <c r="BA68" i="56"/>
  <c r="BD68" i="56" s="1"/>
  <c r="AW62" i="56"/>
  <c r="AG19" i="110" s="1"/>
  <c r="AI19" i="110" s="1"/>
  <c r="AW50" i="56"/>
  <c r="AG13" i="110" s="1"/>
  <c r="AI13" i="110" s="1"/>
  <c r="AT44" i="56"/>
  <c r="J10" i="110" s="1" a="1"/>
  <c r="J10" i="110" s="1"/>
  <c r="AJ60" i="56"/>
  <c r="AV62" i="56"/>
  <c r="AF19" i="110" s="1"/>
  <c r="AH19" i="110" s="1"/>
  <c r="AY36" i="56"/>
  <c r="BP36" i="56" s="1"/>
  <c r="AU68" i="56"/>
  <c r="Q22" i="110" s="1"/>
  <c r="BA54" i="56"/>
  <c r="BD54" i="56" s="1"/>
  <c r="BA48" i="56"/>
  <c r="BD48" i="56" s="1"/>
  <c r="BG60" i="56"/>
  <c r="BG64" i="56"/>
  <c r="AF8" i="110"/>
  <c r="AX60" i="56"/>
  <c r="AY52" i="56"/>
  <c r="AJ64" i="56"/>
  <c r="BA70" i="56"/>
  <c r="AW64" i="56"/>
  <c r="AG20" i="110" s="1"/>
  <c r="AI20" i="110" s="1"/>
  <c r="AU60" i="56"/>
  <c r="Q18" i="110" s="1"/>
  <c r="AW52" i="56"/>
  <c r="AG14" i="110" s="1"/>
  <c r="AI14" i="110" s="1"/>
  <c r="AY32" i="56"/>
  <c r="AY60" i="56"/>
  <c r="AJ54" i="56"/>
  <c r="AV64" i="56"/>
  <c r="AF20" i="110" s="1"/>
  <c r="AH20" i="110" s="1"/>
  <c r="AU66" i="56"/>
  <c r="Q21" i="110" s="1"/>
  <c r="AX70" i="56"/>
  <c r="BH58" i="56"/>
  <c r="BF58" i="56" s="1"/>
  <c r="BH56" i="56"/>
  <c r="BF56" i="56" s="1"/>
  <c r="AT56" i="56"/>
  <c r="J16" i="110" s="1" a="1"/>
  <c r="J16" i="110" s="1"/>
  <c r="AT54" i="56"/>
  <c r="J15" i="110" s="1" a="1"/>
  <c r="J15" i="110" s="1"/>
  <c r="AV52" i="56"/>
  <c r="AF14" i="110" s="1"/>
  <c r="AH14" i="110" s="1"/>
  <c r="AF13" i="110"/>
  <c r="BI48" i="56"/>
  <c r="BI46" i="56"/>
  <c r="AY46" i="56"/>
  <c r="AW32" i="56"/>
  <c r="AW70" i="56"/>
  <c r="AG23" i="110" s="1"/>
  <c r="AI23" i="110" s="1"/>
  <c r="AY68" i="56"/>
  <c r="AY66" i="56"/>
  <c r="BA64" i="56"/>
  <c r="BD64" i="56" s="1"/>
  <c r="BA62" i="56"/>
  <c r="BD62" i="56" s="1"/>
  <c r="BG58" i="56"/>
  <c r="BG56" i="56"/>
  <c r="AU52" i="56"/>
  <c r="Q14" i="110" s="1"/>
  <c r="AW48" i="56"/>
  <c r="AG12" i="110" s="1"/>
  <c r="AI12" i="110" s="1"/>
  <c r="AW46" i="56"/>
  <c r="AG11" i="110" s="1"/>
  <c r="AI11" i="110" s="1"/>
  <c r="AY44" i="56"/>
  <c r="AY42" i="56"/>
  <c r="BA40" i="56"/>
  <c r="BA38" i="56"/>
  <c r="AY58" i="56"/>
  <c r="BA42" i="56"/>
  <c r="AV70" i="56"/>
  <c r="AF23" i="110" s="1"/>
  <c r="AH23" i="110" s="1"/>
  <c r="AX68" i="56"/>
  <c r="AX66" i="56"/>
  <c r="BH54" i="56"/>
  <c r="BF54" i="56" s="1"/>
  <c r="BH52" i="56"/>
  <c r="BF52" i="56" s="1"/>
  <c r="AT52" i="56"/>
  <c r="J14" i="110" s="1" a="1"/>
  <c r="J14" i="110" s="1"/>
  <c r="C14" i="110" s="1" a="1"/>
  <c r="C14" i="110" s="1"/>
  <c r="B14" i="110" s="1"/>
  <c r="E14" i="110" s="1"/>
  <c r="AT50" i="56"/>
  <c r="J13" i="110" s="1" a="1"/>
  <c r="J13" i="110" s="1"/>
  <c r="AF12" i="110"/>
  <c r="AY70" i="56"/>
  <c r="AU54" i="56"/>
  <c r="Q15" i="110" s="1"/>
  <c r="AJ66" i="56"/>
  <c r="AJ58" i="56"/>
  <c r="AU70" i="56"/>
  <c r="Q23" i="110" s="1"/>
  <c r="AW68" i="56"/>
  <c r="AG22" i="110" s="1"/>
  <c r="AI22" i="110" s="1"/>
  <c r="AW66" i="56"/>
  <c r="AG21" i="110" s="1"/>
  <c r="AI21" i="110" s="1"/>
  <c r="AY64" i="56"/>
  <c r="AY62" i="56"/>
  <c r="BA60" i="56"/>
  <c r="BD60" i="56" s="1"/>
  <c r="BA58" i="56"/>
  <c r="BD58" i="56" s="1"/>
  <c r="BG54" i="56"/>
  <c r="BG52" i="56"/>
  <c r="AW44" i="56"/>
  <c r="AG10" i="110" s="1"/>
  <c r="AI10" i="110" s="1"/>
  <c r="AW42" i="56"/>
  <c r="AG9" i="110" s="1"/>
  <c r="AI9" i="110" s="1"/>
  <c r="AY40" i="56"/>
  <c r="AY38" i="56"/>
  <c r="BA36" i="56"/>
  <c r="C6" i="110" s="1" a="1"/>
  <c r="C6" i="110" s="1"/>
  <c r="B6" i="110" s="1"/>
  <c r="E6" i="110" s="1"/>
  <c r="BG66" i="56"/>
  <c r="BA66" i="56"/>
  <c r="BD66" i="56" s="1"/>
  <c r="AT32" i="56"/>
  <c r="AT70" i="56"/>
  <c r="J23" i="110" s="1" a="1"/>
  <c r="J23" i="110" s="1"/>
  <c r="AV68" i="56"/>
  <c r="AF22" i="110" s="1"/>
  <c r="AH22" i="110" s="1"/>
  <c r="AV66" i="56"/>
  <c r="AF21" i="110" s="1"/>
  <c r="AH21" i="110" s="1"/>
  <c r="AX64" i="56"/>
  <c r="AX62" i="56"/>
  <c r="AT48" i="56"/>
  <c r="J12" i="110" s="1" a="1"/>
  <c r="J12" i="110" s="1"/>
  <c r="AT46" i="56"/>
  <c r="J11" i="110" s="1" a="1"/>
  <c r="J11" i="110" s="1"/>
  <c r="AF10" i="110"/>
  <c r="AF9" i="110"/>
  <c r="AT42" i="56"/>
  <c r="J9" i="110" s="1" a="1"/>
  <c r="J9" i="110" s="1"/>
  <c r="BG70" i="56"/>
  <c r="BG68" i="56"/>
  <c r="AU64" i="56"/>
  <c r="Q20" i="110" s="1"/>
  <c r="AU62" i="56"/>
  <c r="Q19" i="110" s="1"/>
  <c r="AW60" i="56"/>
  <c r="AG18" i="110" s="1"/>
  <c r="AI18" i="110" s="1"/>
  <c r="AW58" i="56"/>
  <c r="AG17" i="110" s="1"/>
  <c r="AI17" i="110" s="1"/>
  <c r="AY56" i="56"/>
  <c r="AY54" i="56"/>
  <c r="BA52" i="56"/>
  <c r="BD52" i="56" s="1"/>
  <c r="BA50" i="56"/>
  <c r="AW36" i="56"/>
  <c r="AG6" i="110" s="1"/>
  <c r="AI6" i="110" s="1"/>
  <c r="AT66" i="56"/>
  <c r="J21" i="110" s="1" a="1"/>
  <c r="J21" i="110" s="1"/>
  <c r="AX58" i="56"/>
  <c r="BH66" i="56"/>
  <c r="BF66" i="56" s="1"/>
  <c r="BH64" i="56"/>
  <c r="BF64" i="56" s="1"/>
  <c r="AT64" i="56"/>
  <c r="J20" i="110" s="1" a="1"/>
  <c r="J20" i="110" s="1"/>
  <c r="C20" i="110" s="1" a="1"/>
  <c r="C20" i="110" s="1"/>
  <c r="B20" i="110" s="1"/>
  <c r="E20" i="110" s="1"/>
  <c r="AT62" i="56"/>
  <c r="J19" i="110" s="1" a="1"/>
  <c r="J19" i="110" s="1"/>
  <c r="C19" i="110" s="1" a="1"/>
  <c r="C19" i="110" s="1"/>
  <c r="B19" i="110" s="1"/>
  <c r="E19" i="110" s="1"/>
  <c r="AV60" i="56"/>
  <c r="AF18" i="110" s="1"/>
  <c r="AH18" i="110" s="1"/>
  <c r="AV58" i="56"/>
  <c r="AF17" i="110" s="1"/>
  <c r="AH17" i="110" s="1"/>
  <c r="AX56" i="56"/>
  <c r="AX54" i="56"/>
  <c r="AT40" i="56"/>
  <c r="J8" i="110" s="1" a="1"/>
  <c r="J8" i="110" s="1"/>
  <c r="AT38" i="56"/>
  <c r="AU58" i="56"/>
  <c r="Q17" i="110" s="1"/>
  <c r="BA46" i="56"/>
  <c r="AW54" i="56"/>
  <c r="AG15" i="110" s="1"/>
  <c r="AI15" i="110" s="1"/>
  <c r="BH62" i="56"/>
  <c r="BF62" i="56" s="1"/>
  <c r="BH60" i="56"/>
  <c r="BF60" i="56" s="1"/>
  <c r="AT58" i="56"/>
  <c r="J17" i="110" s="1" a="1"/>
  <c r="J17" i="110" s="1"/>
  <c r="AV56" i="56"/>
  <c r="AF16" i="110" s="1"/>
  <c r="AH16" i="110" s="1"/>
  <c r="AX52" i="56"/>
  <c r="BI50" i="56"/>
  <c r="BP40" i="56" l="1"/>
  <c r="BP42" i="56"/>
  <c r="AJ42" i="56"/>
  <c r="AU42" i="56" s="1"/>
  <c r="BP32" i="56"/>
  <c r="BQ32" i="56"/>
  <c r="BN32" i="56" s="1"/>
  <c r="BD34" i="56"/>
  <c r="BI42" i="56"/>
  <c r="J7" i="110" a="1"/>
  <c r="J7" i="110" s="1"/>
  <c r="C7" i="110" s="1" a="1"/>
  <c r="C7" i="110" s="1"/>
  <c r="B7" i="110" s="1"/>
  <c r="E7" i="110" s="1"/>
  <c r="BP38" i="56"/>
  <c r="BD32" i="56"/>
  <c r="BI36" i="56"/>
  <c r="AJ48" i="56"/>
  <c r="AU48" i="56" s="1"/>
  <c r="C8" i="110" a="1"/>
  <c r="C8" i="110" s="1"/>
  <c r="B8" i="110" s="1"/>
  <c r="E8" i="110" s="1"/>
  <c r="BI38" i="56"/>
  <c r="AF7" i="110"/>
  <c r="AJ38" i="56"/>
  <c r="C9" i="110" a="1"/>
  <c r="C9" i="110" s="1"/>
  <c r="B9" i="110" s="1"/>
  <c r="E9" i="110" s="1"/>
  <c r="AJ46" i="56"/>
  <c r="AF11" i="110"/>
  <c r="C10" i="110" a="1"/>
  <c r="C10" i="110" s="1"/>
  <c r="B10" i="110" s="1"/>
  <c r="E10" i="110" s="1"/>
  <c r="C13" i="110" a="1"/>
  <c r="C13" i="110" s="1"/>
  <c r="B13" i="110" s="1"/>
  <c r="E13" i="110" s="1"/>
  <c r="C11" i="110" a="1"/>
  <c r="C11" i="110" s="1"/>
  <c r="B11" i="110" s="1"/>
  <c r="E11" i="110" s="1"/>
  <c r="C12" i="110" a="1"/>
  <c r="C12" i="110" s="1"/>
  <c r="B12" i="110" s="1"/>
  <c r="E12" i="110" s="1"/>
  <c r="AJ36" i="56"/>
  <c r="AF6" i="110"/>
  <c r="AQ18" i="110"/>
  <c r="P18" i="110"/>
  <c r="AQ23" i="110"/>
  <c r="P23" i="110"/>
  <c r="AN14" i="110"/>
  <c r="AQ20" i="110"/>
  <c r="P20" i="110"/>
  <c r="C21" i="110" a="1"/>
  <c r="C21" i="110" s="1"/>
  <c r="B21" i="110" s="1"/>
  <c r="E21" i="110" s="1"/>
  <c r="AN21" i="110"/>
  <c r="AQ17" i="110"/>
  <c r="P17" i="110"/>
  <c r="AQ21" i="110"/>
  <c r="P21" i="110"/>
  <c r="C17" i="110" a="1"/>
  <c r="C17" i="110" s="1"/>
  <c r="B17" i="110" s="1"/>
  <c r="E17" i="110" s="1"/>
  <c r="AN17" i="110"/>
  <c r="AN22" i="110"/>
  <c r="AQ15" i="110"/>
  <c r="P15" i="110"/>
  <c r="C23" i="110" a="1"/>
  <c r="C23" i="110" s="1"/>
  <c r="B23" i="110" s="1"/>
  <c r="E23" i="110" s="1"/>
  <c r="AN23" i="110"/>
  <c r="C15" i="110" a="1"/>
  <c r="C15" i="110" s="1"/>
  <c r="B15" i="110" s="1"/>
  <c r="E15" i="110" s="1"/>
  <c r="AN15" i="110"/>
  <c r="AN20" i="110"/>
  <c r="AQ14" i="110"/>
  <c r="P14" i="110"/>
  <c r="C16" i="110" a="1"/>
  <c r="C16" i="110" s="1"/>
  <c r="B16" i="110" s="1"/>
  <c r="E16" i="110" s="1"/>
  <c r="AN16" i="110"/>
  <c r="AN19" i="110"/>
  <c r="BD36" i="56"/>
  <c r="BI40" i="56"/>
  <c r="AJ40" i="56"/>
  <c r="AJ50" i="56"/>
  <c r="BI44" i="56"/>
  <c r="AJ44" i="56"/>
  <c r="BI32" i="56"/>
  <c r="BD40" i="56"/>
  <c r="BG50" i="56"/>
  <c r="BC38" i="56"/>
  <c r="BD38" i="56"/>
  <c r="BC50" i="56"/>
  <c r="BD50" i="56"/>
  <c r="BC46" i="56"/>
  <c r="BD46" i="56"/>
  <c r="BC42" i="56"/>
  <c r="BD42" i="56"/>
  <c r="BC44" i="56"/>
  <c r="BD44" i="56"/>
  <c r="BC70" i="56"/>
  <c r="BD70" i="56"/>
  <c r="BC56" i="56"/>
  <c r="BD56" i="56"/>
  <c r="AJ32" i="56"/>
  <c r="AQ4" i="110" s="1"/>
  <c r="BC62" i="56"/>
  <c r="BC32" i="56"/>
  <c r="BC48" i="56"/>
  <c r="BC54" i="56"/>
  <c r="BC68" i="56"/>
  <c r="BC36" i="56"/>
  <c r="BC60" i="56"/>
  <c r="BC58" i="56"/>
  <c r="BC66" i="56"/>
  <c r="BC52" i="56"/>
  <c r="BC64" i="56"/>
  <c r="BC40" i="56"/>
  <c r="E93" i="3"/>
  <c r="BJ42" i="56" l="1"/>
  <c r="BH42" i="56" s="1"/>
  <c r="AQ9" i="110"/>
  <c r="BJ38" i="56"/>
  <c r="BH38" i="56" s="1"/>
  <c r="BJ36" i="56"/>
  <c r="BH36" i="56" s="1"/>
  <c r="BJ32" i="56"/>
  <c r="BH32" i="56" s="1"/>
  <c r="BJ40" i="56"/>
  <c r="BH40" i="56" s="1"/>
  <c r="AQ12" i="110"/>
  <c r="AQ7" i="110"/>
  <c r="AU38" i="56"/>
  <c r="AU36" i="56"/>
  <c r="AQ6" i="110"/>
  <c r="AU44" i="56"/>
  <c r="AQ10" i="110"/>
  <c r="AU50" i="56"/>
  <c r="AQ13" i="110"/>
  <c r="AU46" i="56"/>
  <c r="AQ11" i="110"/>
  <c r="AU40" i="56"/>
  <c r="AQ8" i="110"/>
  <c r="AU32" i="56"/>
  <c r="AY34" i="56"/>
  <c r="BP34" i="56" s="1"/>
  <c r="AT34" i="56"/>
  <c r="AF5" i="110"/>
  <c r="AW34" i="56"/>
  <c r="AG5" i="110" s="1"/>
  <c r="AI5" i="110" s="1"/>
  <c r="BR32" i="56" l="1"/>
  <c r="BT32" i="56" s="1"/>
  <c r="BS32" i="56" s="1"/>
  <c r="BM34" i="56"/>
  <c r="BQ34" i="56" s="1"/>
  <c r="J5" i="110" a="1"/>
  <c r="J5" i="110" s="1"/>
  <c r="C5" i="110" s="1" a="1"/>
  <c r="C5" i="110" s="1"/>
  <c r="B5" i="110" s="1"/>
  <c r="E5" i="110" s="1"/>
  <c r="BI34" i="56"/>
  <c r="BJ34" i="56" s="1"/>
  <c r="BH34" i="56" s="1"/>
  <c r="AJ34" i="56"/>
  <c r="BV32" i="56" l="1"/>
  <c r="BU32" i="56"/>
  <c r="BO32" i="56"/>
  <c r="AU34" i="56"/>
  <c r="AQ5" i="110"/>
  <c r="A4" i="110"/>
  <c r="U4" i="110" a="1"/>
  <c r="U4" i="110" s="1"/>
  <c r="AN32" i="56" l="1"/>
  <c r="BF32" i="56"/>
  <c r="BN34" i="56"/>
  <c r="BR34" i="56" s="1"/>
  <c r="AY117" i="56"/>
  <c r="AY113" i="56"/>
  <c r="AE4" i="110" l="1"/>
  <c r="L4" i="110"/>
  <c r="BM36" i="56"/>
  <c r="BQ36" i="56" s="1"/>
  <c r="BN36" i="56" s="1"/>
  <c r="BT34" i="56"/>
  <c r="E26" i="3"/>
  <c r="D87" i="3"/>
  <c r="D94" i="3"/>
  <c r="D112" i="3"/>
  <c r="D131" i="3"/>
  <c r="D108" i="3"/>
  <c r="D75" i="3"/>
  <c r="D84" i="3"/>
  <c r="D78" i="3"/>
  <c r="D102" i="3"/>
  <c r="D82" i="3"/>
  <c r="D74" i="3"/>
  <c r="D106" i="3"/>
  <c r="D77" i="3"/>
  <c r="D89" i="3"/>
  <c r="D113" i="3"/>
  <c r="D76" i="3"/>
  <c r="C107" i="3"/>
  <c r="D73" i="3"/>
  <c r="D104" i="3"/>
  <c r="D105" i="3"/>
  <c r="D101" i="3"/>
  <c r="D97" i="3"/>
  <c r="D81" i="3"/>
  <c r="D80" i="3"/>
  <c r="D88" i="3"/>
  <c r="D129" i="3"/>
  <c r="D79" i="3"/>
  <c r="D130" i="3"/>
  <c r="D93" i="3"/>
  <c r="D111" i="3"/>
  <c r="D110" i="3"/>
  <c r="C106" i="3"/>
  <c r="D95" i="3"/>
  <c r="D132" i="3"/>
  <c r="D99" i="3"/>
  <c r="D100" i="3"/>
  <c r="D103" i="3"/>
  <c r="BO34" i="56" l="1"/>
  <c r="BU34" i="56"/>
  <c r="BS34" i="56"/>
  <c r="BV34" i="56" s="1"/>
  <c r="BR36" i="56"/>
  <c r="BM38" i="56"/>
  <c r="BQ38" i="56" s="1"/>
  <c r="AG4" i="110"/>
  <c r="AI4" i="110" s="1"/>
  <c r="E107" i="3"/>
  <c r="AN34" i="56" l="1"/>
  <c r="BN38" i="56"/>
  <c r="BT36" i="56"/>
  <c r="BS36" i="56"/>
  <c r="BV36" i="56" s="1"/>
  <c r="F26" i="3"/>
  <c r="F31" i="3" s="1"/>
  <c r="AF4" i="110"/>
  <c r="BC34" i="56"/>
  <c r="BF36" i="56" l="1"/>
  <c r="AN36" i="56"/>
  <c r="BO36" i="56"/>
  <c r="BU36" i="56"/>
  <c r="BR38" i="56"/>
  <c r="BM40" i="56"/>
  <c r="P5" i="110"/>
  <c r="AE5" i="110"/>
  <c r="Q5" i="110"/>
  <c r="R5" i="110"/>
  <c r="M5" i="110" a="1"/>
  <c r="M5" i="110" s="1"/>
  <c r="AN5" i="110" s="1"/>
  <c r="L5" i="110"/>
  <c r="AH5" i="110" s="1"/>
  <c r="N5" i="110" a="1"/>
  <c r="N5" i="110" s="1"/>
  <c r="BF34" i="56"/>
  <c r="D115" i="56"/>
  <c r="AE115" i="56" s="1"/>
  <c r="G26" i="3"/>
  <c r="AE6" i="110" l="1"/>
  <c r="M6" i="110" a="1"/>
  <c r="M6" i="110" s="1"/>
  <c r="AN6" i="110" s="1"/>
  <c r="N6" i="110" a="1"/>
  <c r="N6" i="110" s="1"/>
  <c r="Q6" i="110"/>
  <c r="P6" i="110"/>
  <c r="R6" i="110"/>
  <c r="L6" i="110"/>
  <c r="AH6" i="110" s="1"/>
  <c r="BQ40" i="56"/>
  <c r="BT38" i="56"/>
  <c r="BS38" i="56"/>
  <c r="BV38" i="56"/>
  <c r="I26" i="3"/>
  <c r="BW2" i="110"/>
  <c r="AN38" i="56" l="1"/>
  <c r="BF38" i="56"/>
  <c r="BN40" i="56"/>
  <c r="BR40" i="56" s="1"/>
  <c r="BO38" i="56"/>
  <c r="BU38" i="56"/>
  <c r="I31" i="3"/>
  <c r="J4" i="110" a="1"/>
  <c r="J4" i="110" s="1"/>
  <c r="W207" i="81"/>
  <c r="W207" i="79"/>
  <c r="W207" i="78"/>
  <c r="B73" i="3"/>
  <c r="B88" i="3"/>
  <c r="B132" i="3"/>
  <c r="B89" i="3"/>
  <c r="B87" i="3"/>
  <c r="P7" i="110" l="1"/>
  <c r="AE7" i="110"/>
  <c r="Q7" i="110"/>
  <c r="L7" i="110"/>
  <c r="AH7" i="110" s="1"/>
  <c r="N7" i="110" a="1"/>
  <c r="N7" i="110" s="1"/>
  <c r="M7" i="110" a="1"/>
  <c r="M7" i="110" s="1"/>
  <c r="AN7" i="110" s="1"/>
  <c r="R7" i="110"/>
  <c r="BM42" i="56"/>
  <c r="BQ42" i="56" s="1"/>
  <c r="BN46" i="56" s="1"/>
  <c r="BR46" i="56" s="1"/>
  <c r="BT46" i="56" s="1"/>
  <c r="BO46" i="56" s="1"/>
  <c r="BT40" i="56"/>
  <c r="BS40" i="56" s="1"/>
  <c r="BV40" i="56" s="1"/>
  <c r="C4" i="110" a="1"/>
  <c r="C4" i="110" s="1"/>
  <c r="B4" i="110" s="1"/>
  <c r="M204" i="79"/>
  <c r="AD49" i="79"/>
  <c r="P30" i="79"/>
  <c r="M204" i="78"/>
  <c r="M204" i="81"/>
  <c r="C98" i="3"/>
  <c r="AN231" i="56"/>
  <c r="DG2" i="110"/>
  <c r="M230" i="56"/>
  <c r="J12" i="108"/>
  <c r="J23" i="108" s="1"/>
  <c r="K12" i="108"/>
  <c r="K30" i="108" s="1"/>
  <c r="AR205" i="129"/>
  <c r="W205" i="129"/>
  <c r="B205" i="129"/>
  <c r="B204" i="129"/>
  <c r="B203" i="129"/>
  <c r="AR205" i="128"/>
  <c r="W205" i="128"/>
  <c r="B205" i="128"/>
  <c r="B204" i="128"/>
  <c r="B203" i="128"/>
  <c r="Q10" i="104"/>
  <c r="Q11" i="104"/>
  <c r="AR202" i="126"/>
  <c r="W202" i="126"/>
  <c r="B202" i="126"/>
  <c r="AR201" i="126"/>
  <c r="B201" i="126"/>
  <c r="B200" i="126"/>
  <c r="AX53" i="126"/>
  <c r="AX57" i="126"/>
  <c r="AI25" i="126"/>
  <c r="AG25" i="126"/>
  <c r="AC25" i="126"/>
  <c r="AC24" i="126"/>
  <c r="J21" i="126"/>
  <c r="K52" i="108"/>
  <c r="J52" i="108"/>
  <c r="K51" i="108"/>
  <c r="J51" i="108"/>
  <c r="A3" i="110"/>
  <c r="J49" i="108"/>
  <c r="J50" i="108" s="1"/>
  <c r="K49" i="108"/>
  <c r="K50" i="108" s="1"/>
  <c r="K83" i="79"/>
  <c r="K70" i="78"/>
  <c r="K69" i="78"/>
  <c r="K82" i="79"/>
  <c r="AC83" i="79"/>
  <c r="T83" i="79"/>
  <c r="AC70" i="78"/>
  <c r="T70" i="78"/>
  <c r="K84" i="79"/>
  <c r="AC84" i="79" s="1"/>
  <c r="K71" i="78"/>
  <c r="T71" i="78" s="1"/>
  <c r="AI25" i="81"/>
  <c r="V57" i="78"/>
  <c r="P30" i="78"/>
  <c r="AL3" i="110"/>
  <c r="AK3" i="110"/>
  <c r="AJ3" i="110"/>
  <c r="AS2" i="110"/>
  <c r="R42" i="106"/>
  <c r="R43" i="106"/>
  <c r="R44" i="106"/>
  <c r="R3" i="106"/>
  <c r="R2" i="106"/>
  <c r="D141" i="106"/>
  <c r="D142" i="106"/>
  <c r="D143" i="106"/>
  <c r="D140" i="106"/>
  <c r="W5" i="109"/>
  <c r="AR202" i="76"/>
  <c r="AT2" i="110"/>
  <c r="K44" i="109"/>
  <c r="A2" i="110"/>
  <c r="AV2" i="110"/>
  <c r="J57" i="78"/>
  <c r="G25" i="81"/>
  <c r="CW2" i="110"/>
  <c r="L30" i="81"/>
  <c r="W6" i="109"/>
  <c r="B1" i="3"/>
  <c r="W202" i="76"/>
  <c r="B202" i="76"/>
  <c r="B201" i="76"/>
  <c r="B200" i="76"/>
  <c r="AR200" i="76"/>
  <c r="AR201" i="76"/>
  <c r="AR204" i="128"/>
  <c r="AR203" i="129"/>
  <c r="AR204" i="129"/>
  <c r="AR203" i="128"/>
  <c r="AR200" i="126"/>
  <c r="M200" i="76"/>
  <c r="Y1" i="128"/>
  <c r="Y1" i="76"/>
  <c r="Y1" i="129"/>
  <c r="M203" i="129"/>
  <c r="M203" i="128"/>
  <c r="Y1" i="126"/>
  <c r="M200" i="126"/>
  <c r="U1" i="128"/>
  <c r="U1" i="129"/>
  <c r="U1" i="126"/>
  <c r="U1" i="76"/>
  <c r="K22" i="76"/>
  <c r="K15" i="76"/>
  <c r="Q1" i="126"/>
  <c r="Q1" i="128"/>
  <c r="Q1" i="76"/>
  <c r="Q1" i="129"/>
  <c r="AD49" i="78"/>
  <c r="K24" i="76"/>
  <c r="B95" i="3"/>
  <c r="B108" i="3"/>
  <c r="B96" i="3"/>
  <c r="B119" i="3"/>
  <c r="B75" i="3"/>
  <c r="B101" i="3"/>
  <c r="B106" i="3"/>
  <c r="B77" i="3"/>
  <c r="B117" i="3"/>
  <c r="B76" i="3"/>
  <c r="B122" i="3"/>
  <c r="B102" i="3"/>
  <c r="B104" i="3"/>
  <c r="B82" i="3"/>
  <c r="B94" i="3"/>
  <c r="C83" i="3"/>
  <c r="B109" i="3"/>
  <c r="B78" i="3"/>
  <c r="B114" i="3"/>
  <c r="B111" i="3"/>
  <c r="B83" i="3"/>
  <c r="B121" i="3"/>
  <c r="B129" i="3"/>
  <c r="B93" i="3"/>
  <c r="B115" i="3"/>
  <c r="B84" i="3"/>
  <c r="B110" i="3"/>
  <c r="B97" i="3"/>
  <c r="B79" i="3"/>
  <c r="B107" i="3"/>
  <c r="B103" i="3"/>
  <c r="E96" i="3"/>
  <c r="C96" i="3"/>
  <c r="B131" i="3"/>
  <c r="B120" i="3"/>
  <c r="B112" i="3"/>
  <c r="B123" i="3"/>
  <c r="B74" i="3"/>
  <c r="B105" i="3"/>
  <c r="B118" i="3"/>
  <c r="B130" i="3"/>
  <c r="B86" i="3"/>
  <c r="B80" i="3"/>
  <c r="B113" i="3"/>
  <c r="B116" i="3"/>
  <c r="B100" i="3"/>
  <c r="B99" i="3"/>
  <c r="B81" i="3"/>
  <c r="BN48" i="56" l="1"/>
  <c r="BR48" i="56" s="1"/>
  <c r="BT48" i="56" s="1"/>
  <c r="BO48" i="56" s="1"/>
  <c r="AN40" i="56"/>
  <c r="BF40" i="56"/>
  <c r="BN42" i="56"/>
  <c r="BR42" i="56" s="1"/>
  <c r="BN50" i="56"/>
  <c r="BR50" i="56" s="1"/>
  <c r="BV50" i="56" s="1"/>
  <c r="BV46" i="56"/>
  <c r="BN44" i="56"/>
  <c r="BR44" i="56" s="1"/>
  <c r="BS46" i="56"/>
  <c r="BO40" i="56"/>
  <c r="BU40" i="56"/>
  <c r="E4" i="110"/>
  <c r="K25" i="108"/>
  <c r="K31" i="108"/>
  <c r="K16" i="108"/>
  <c r="J16" i="108"/>
  <c r="J40" i="108"/>
  <c r="J13" i="108"/>
  <c r="J32" i="108"/>
  <c r="K33" i="108"/>
  <c r="J39" i="108"/>
  <c r="J18" i="108"/>
  <c r="J34" i="108"/>
  <c r="J30" i="108"/>
  <c r="J33" i="108"/>
  <c r="J25" i="108"/>
  <c r="K13" i="108"/>
  <c r="K34" i="108"/>
  <c r="J19" i="108"/>
  <c r="K35" i="108"/>
  <c r="K38" i="108"/>
  <c r="K28" i="108"/>
  <c r="J15" i="108"/>
  <c r="J27" i="108"/>
  <c r="K27" i="108"/>
  <c r="J35" i="108"/>
  <c r="K23" i="108"/>
  <c r="J37" i="108"/>
  <c r="J31" i="108"/>
  <c r="K22" i="108"/>
  <c r="J24" i="108"/>
  <c r="J36" i="108"/>
  <c r="K37" i="108"/>
  <c r="K24" i="108"/>
  <c r="J28" i="108"/>
  <c r="J26" i="108"/>
  <c r="K36" i="108"/>
  <c r="K17" i="108"/>
  <c r="J14" i="108"/>
  <c r="J17" i="108"/>
  <c r="K29" i="108"/>
  <c r="K15" i="108"/>
  <c r="K19" i="108"/>
  <c r="K14" i="108"/>
  <c r="K20" i="108"/>
  <c r="K26" i="108"/>
  <c r="K32" i="108"/>
  <c r="K21" i="108"/>
  <c r="K40" i="108"/>
  <c r="K18" i="108"/>
  <c r="K39" i="108"/>
  <c r="E10" i="3"/>
  <c r="AC71" i="78"/>
  <c r="T84" i="79"/>
  <c r="AI34" i="81"/>
  <c r="AI35" i="81"/>
  <c r="J20" i="108"/>
  <c r="J38" i="108"/>
  <c r="J21" i="108"/>
  <c r="J22" i="108"/>
  <c r="J29" i="108"/>
  <c r="E83" i="3"/>
  <c r="BV48" i="56" l="1"/>
  <c r="AN48" i="56" s="1"/>
  <c r="BT42" i="56"/>
  <c r="BO42" i="56" s="1"/>
  <c r="AN46" i="56"/>
  <c r="BF46" i="56"/>
  <c r="AN50" i="56"/>
  <c r="BF50" i="56"/>
  <c r="AE8" i="110"/>
  <c r="N8" i="110" a="1"/>
  <c r="N8" i="110" s="1"/>
  <c r="P8" i="110"/>
  <c r="R8" i="110"/>
  <c r="M8" i="110" a="1"/>
  <c r="M8" i="110" s="1"/>
  <c r="AN8" i="110" s="1"/>
  <c r="L8" i="110"/>
  <c r="AH8" i="110" s="1"/>
  <c r="Q8" i="110"/>
  <c r="BT50" i="56"/>
  <c r="BO50" i="56" s="1"/>
  <c r="BS48" i="56"/>
  <c r="BV44" i="56"/>
  <c r="BT44" i="56"/>
  <c r="BO44" i="56" s="1"/>
  <c r="R28" i="3"/>
  <c r="R29" i="3"/>
  <c r="AI36" i="81"/>
  <c r="BF48" i="56" l="1"/>
  <c r="BS42" i="56"/>
  <c r="BV42" i="56" s="1"/>
  <c r="BF42" i="56" s="1"/>
  <c r="BU42" i="56"/>
  <c r="BS44" i="56"/>
  <c r="BU44" i="56"/>
  <c r="BU46" i="56"/>
  <c r="BU48" i="56"/>
  <c r="BU50" i="56"/>
  <c r="AN44" i="56"/>
  <c r="BF44" i="56"/>
  <c r="AE12" i="110"/>
  <c r="N12" i="110" a="1"/>
  <c r="N12" i="110" s="1"/>
  <c r="L12" i="110"/>
  <c r="AH12" i="110" s="1"/>
  <c r="P12" i="110"/>
  <c r="R12" i="110"/>
  <c r="M12" i="110" a="1"/>
  <c r="M12" i="110" s="1"/>
  <c r="AN12" i="110" s="1"/>
  <c r="Q12" i="110"/>
  <c r="M13" i="110" a="1"/>
  <c r="M13" i="110" s="1"/>
  <c r="AN13" i="110" s="1"/>
  <c r="N13" i="110" a="1"/>
  <c r="N13" i="110" s="1"/>
  <c r="O13" i="110" a="1"/>
  <c r="O13" i="110" s="1"/>
  <c r="R13" i="110"/>
  <c r="L13" i="110"/>
  <c r="AH13" i="110" s="1"/>
  <c r="AE13" i="110"/>
  <c r="P13" i="110"/>
  <c r="Q13" i="110"/>
  <c r="AE11" i="110"/>
  <c r="L11" i="110"/>
  <c r="AH11" i="110" s="1"/>
  <c r="R11" i="110"/>
  <c r="P11" i="110"/>
  <c r="M11" i="110" a="1"/>
  <c r="M11" i="110" s="1"/>
  <c r="AN11" i="110" s="1"/>
  <c r="Q11" i="110"/>
  <c r="N11" i="110" a="1"/>
  <c r="N11" i="110" s="1"/>
  <c r="BS50" i="56"/>
  <c r="O46" i="126"/>
  <c r="D15" i="128"/>
  <c r="N15" i="129"/>
  <c r="N24" i="129" s="1"/>
  <c r="N28" i="129" s="1"/>
  <c r="N32" i="129" s="1"/>
  <c r="T50" i="78"/>
  <c r="T50" i="79"/>
  <c r="AN42" i="56" l="1"/>
  <c r="N9" i="110" s="1" a="1"/>
  <c r="N9" i="110" s="1"/>
  <c r="AL13" i="110"/>
  <c r="AK13" i="110"/>
  <c r="AJ13" i="110"/>
  <c r="P10" i="110"/>
  <c r="R10" i="110"/>
  <c r="L10" i="110"/>
  <c r="AH10" i="110" s="1"/>
  <c r="Q10" i="110"/>
  <c r="M10" i="110" a="1"/>
  <c r="M10" i="110" s="1"/>
  <c r="AN10" i="110" s="1"/>
  <c r="AE10" i="110"/>
  <c r="N10" i="110" a="1"/>
  <c r="N10" i="110" s="1"/>
  <c r="CM2" i="110"/>
  <c r="G23" i="81"/>
  <c r="P7" i="109"/>
  <c r="DL2" i="110"/>
  <c r="AC22" i="126"/>
  <c r="P40" i="78"/>
  <c r="P40" i="79"/>
  <c r="U20" i="81"/>
  <c r="Q7" i="109"/>
  <c r="DI2" i="110"/>
  <c r="AC23" i="126"/>
  <c r="U21" i="81"/>
  <c r="R7" i="109"/>
  <c r="DJ2" i="110"/>
  <c r="W40" i="78"/>
  <c r="W40" i="79"/>
  <c r="Z21" i="81"/>
  <c r="DK2" i="110"/>
  <c r="U22" i="81"/>
  <c r="S7" i="109"/>
  <c r="DM2" i="110"/>
  <c r="AC26" i="126"/>
  <c r="W41" i="78"/>
  <c r="W41" i="79"/>
  <c r="U23" i="81"/>
  <c r="T7" i="109"/>
  <c r="DN2" i="110"/>
  <c r="AC27" i="126"/>
  <c r="W42" i="78"/>
  <c r="W42" i="79"/>
  <c r="U24" i="81"/>
  <c r="P5" i="109"/>
  <c r="P6" i="109"/>
  <c r="AU2" i="110"/>
  <c r="CR2" i="110"/>
  <c r="DB2" i="110"/>
  <c r="J19" i="126"/>
  <c r="K26" i="78"/>
  <c r="W30" i="78"/>
  <c r="K26" i="79"/>
  <c r="W30" i="79"/>
  <c r="G20" i="81"/>
  <c r="G28" i="81"/>
  <c r="U5" i="109"/>
  <c r="U6" i="109"/>
  <c r="CU2" i="110"/>
  <c r="DE2" i="110"/>
  <c r="O23" i="126"/>
  <c r="W31" i="78"/>
  <c r="W31" i="79"/>
  <c r="G29" i="81"/>
  <c r="V5" i="109"/>
  <c r="V6" i="109"/>
  <c r="CV2" i="110"/>
  <c r="DF2" i="110"/>
  <c r="O24" i="126"/>
  <c r="G30" i="81"/>
  <c r="X5" i="109"/>
  <c r="X6" i="109"/>
  <c r="CX2" i="110"/>
  <c r="DH2" i="110"/>
  <c r="U24" i="126"/>
  <c r="W32" i="78"/>
  <c r="W32" i="79"/>
  <c r="N30" i="81"/>
  <c r="E76" i="3"/>
  <c r="C84" i="3"/>
  <c r="C95" i="3"/>
  <c r="C73" i="3"/>
  <c r="C77" i="3"/>
  <c r="E80" i="3"/>
  <c r="E79" i="3"/>
  <c r="C82" i="3"/>
  <c r="C81" i="3"/>
  <c r="C78" i="3"/>
  <c r="E75" i="3"/>
  <c r="C93" i="3"/>
  <c r="C80" i="3"/>
  <c r="E84" i="3"/>
  <c r="C94" i="3"/>
  <c r="E95" i="3"/>
  <c r="E94" i="3"/>
  <c r="E78" i="3"/>
  <c r="E74" i="3"/>
  <c r="C74" i="3"/>
  <c r="C76" i="3"/>
  <c r="E82" i="3"/>
  <c r="C75" i="3"/>
  <c r="E81" i="3"/>
  <c r="E73" i="3"/>
  <c r="C97" i="3"/>
  <c r="C79" i="3"/>
  <c r="C11" i="79" l="1"/>
  <c r="AE9" i="110"/>
  <c r="C11" i="56"/>
  <c r="L9" i="110"/>
  <c r="AH9" i="110" s="1"/>
  <c r="C11" i="78"/>
  <c r="P9" i="110"/>
  <c r="C11" i="81"/>
  <c r="R9" i="110"/>
  <c r="Q9" i="110"/>
  <c r="M9" i="110" a="1"/>
  <c r="M9" i="110" s="1"/>
  <c r="AN9" i="110" s="1"/>
  <c r="Q5" i="109"/>
  <c r="Q6" i="109"/>
  <c r="CO2" i="110"/>
  <c r="CY2" i="110"/>
  <c r="R5" i="109"/>
  <c r="R6" i="109"/>
  <c r="CP2" i="110"/>
  <c r="CZ2" i="110"/>
  <c r="O22" i="126"/>
  <c r="W35" i="78"/>
  <c r="W35" i="79"/>
  <c r="E97" i="3"/>
  <c r="C99" i="3"/>
  <c r="C100" i="3"/>
  <c r="E77" i="3"/>
  <c r="CQ2" i="110" l="1"/>
  <c r="DA2" i="110"/>
  <c r="E99" i="3"/>
  <c r="C101" i="3"/>
  <c r="S5" i="109" l="1"/>
  <c r="AE139" i="56" s="1"/>
  <c r="S6" i="109"/>
  <c r="CS2" i="110"/>
  <c r="DC2" i="110"/>
  <c r="O25" i="126"/>
  <c r="W36" i="78"/>
  <c r="W36" i="79"/>
  <c r="T5" i="109"/>
  <c r="AL139" i="56" s="1"/>
  <c r="T6" i="109"/>
  <c r="CT2" i="110"/>
  <c r="DD2" i="110"/>
  <c r="O26" i="126"/>
  <c r="W37" i="78"/>
  <c r="W37" i="79"/>
  <c r="CE2" i="110"/>
  <c r="G31" i="81"/>
  <c r="CA2" i="110"/>
  <c r="G34" i="81"/>
  <c r="CG2" i="110"/>
  <c r="G37" i="81"/>
  <c r="G21" i="81"/>
  <c r="C142" i="56"/>
  <c r="L21" i="81"/>
  <c r="G32" i="81"/>
  <c r="BH2" i="110"/>
  <c r="J139" i="56"/>
  <c r="Q139" i="56"/>
  <c r="U29" i="81" s="1"/>
  <c r="X139" i="56"/>
  <c r="Q142" i="56"/>
  <c r="Z31" i="81"/>
  <c r="AE142" i="56"/>
  <c r="AB31" i="81" s="1"/>
  <c r="C171" i="56"/>
  <c r="N66" i="79"/>
  <c r="U37" i="81"/>
  <c r="D119" i="3"/>
  <c r="D120" i="3"/>
  <c r="D114" i="3"/>
  <c r="C119" i="3"/>
  <c r="C88" i="3"/>
  <c r="C120" i="3"/>
  <c r="D115" i="3"/>
  <c r="E102" i="3"/>
  <c r="E89" i="3"/>
  <c r="E118" i="3"/>
  <c r="C108" i="3"/>
  <c r="E115" i="3"/>
  <c r="D118" i="3"/>
  <c r="E105" i="3"/>
  <c r="C121" i="3"/>
  <c r="D122" i="3"/>
  <c r="C116" i="3"/>
  <c r="C122" i="3"/>
  <c r="E121" i="3"/>
  <c r="D123" i="3"/>
  <c r="D121" i="3"/>
  <c r="E103" i="3"/>
  <c r="C110" i="3"/>
  <c r="E106" i="3"/>
  <c r="C118" i="3"/>
  <c r="E110" i="3"/>
  <c r="C102" i="3"/>
  <c r="E117" i="3"/>
  <c r="E122" i="3"/>
  <c r="E104" i="3"/>
  <c r="C114" i="3"/>
  <c r="C117" i="3"/>
  <c r="C123" i="3"/>
  <c r="C103" i="3"/>
  <c r="E101" i="3"/>
  <c r="E114" i="3"/>
  <c r="C105" i="3"/>
  <c r="C115" i="3"/>
  <c r="C104" i="3"/>
  <c r="E109" i="3"/>
  <c r="C89" i="3"/>
  <c r="E108" i="3"/>
  <c r="E100" i="3"/>
  <c r="E119" i="3"/>
  <c r="D116" i="3"/>
  <c r="D117" i="3"/>
  <c r="E116" i="3"/>
  <c r="E88" i="3"/>
  <c r="C109" i="3"/>
  <c r="E120" i="3"/>
  <c r="R66" i="79" l="1"/>
  <c r="U36" i="81"/>
  <c r="AZ2" i="110"/>
  <c r="BB2" i="110"/>
  <c r="U33" i="81"/>
  <c r="Z29" i="81"/>
  <c r="G31" i="3"/>
  <c r="F1" i="3" s="1"/>
  <c r="N70" i="79"/>
  <c r="BE2" i="110"/>
  <c r="U31" i="81"/>
  <c r="AX2" i="110"/>
  <c r="BD2" i="110"/>
  <c r="BC2" i="110"/>
  <c r="U28" i="81"/>
  <c r="U30" i="81"/>
  <c r="AY2" i="110"/>
  <c r="N69" i="79"/>
  <c r="N68" i="79"/>
  <c r="U32" i="81"/>
  <c r="N67" i="79"/>
  <c r="BF2" i="110"/>
  <c r="N72" i="79"/>
  <c r="U34" i="81"/>
  <c r="BG2" i="110"/>
  <c r="N71" i="79"/>
  <c r="U35" i="81"/>
  <c r="BO2" i="110"/>
  <c r="BP2" i="110" a="1"/>
  <c r="BP2" i="110" s="1"/>
  <c r="C113" i="3"/>
  <c r="C129" i="3"/>
  <c r="C133" i="3"/>
  <c r="C111" i="3"/>
  <c r="E131" i="3"/>
  <c r="C112" i="3"/>
  <c r="C132" i="3"/>
  <c r="C131" i="3"/>
  <c r="E111" i="3"/>
  <c r="E113" i="3"/>
  <c r="E132" i="3"/>
  <c r="C130" i="3"/>
  <c r="C92" i="3" l="1"/>
  <c r="H26" i="3"/>
  <c r="H31" i="3" s="1"/>
  <c r="R115" i="56"/>
  <c r="E130" i="3"/>
  <c r="E112" i="3"/>
  <c r="E133" i="3"/>
  <c r="E123" i="3"/>
  <c r="E129" i="3"/>
  <c r="K50" i="78" l="1"/>
  <c r="J59" i="126"/>
  <c r="T64" i="126" s="1"/>
  <c r="K50" i="79"/>
  <c r="E91" i="3"/>
  <c r="Q26" i="3" l="1"/>
  <c r="AE69" i="126"/>
  <c r="M69" i="126"/>
  <c r="V69" i="126"/>
  <c r="K61" i="78"/>
  <c r="C86" i="3"/>
  <c r="E86" i="3"/>
  <c r="C87" i="3"/>
  <c r="K26" i="3" l="1"/>
  <c r="K31" i="3" s="1"/>
  <c r="L26" i="3"/>
  <c r="L31" i="3" s="1"/>
  <c r="M26" i="3"/>
  <c r="M31" i="3" s="1"/>
  <c r="J26" i="3"/>
  <c r="N4" i="110" a="1"/>
  <c r="N4" i="110" s="1"/>
  <c r="M4" i="110" a="1"/>
  <c r="M4" i="110" s="1"/>
  <c r="R4" i="110"/>
  <c r="P4" i="110"/>
  <c r="Q4" i="110"/>
  <c r="Q31" i="3"/>
  <c r="E87" i="3"/>
  <c r="N26" i="3" l="1"/>
  <c r="N31" i="3" s="1"/>
  <c r="O31" i="3" s="1"/>
  <c r="O33" i="3" s="1"/>
  <c r="BG42" i="56" s="1"/>
  <c r="J31" i="3"/>
  <c r="C85" i="3"/>
  <c r="C72" i="3" s="1"/>
  <c r="AI32" i="81"/>
  <c r="AI33" i="81"/>
  <c r="AI30" i="81"/>
  <c r="AH4" i="110"/>
  <c r="AI31" i="81"/>
  <c r="AN4" i="110"/>
  <c r="AI29" i="81"/>
  <c r="R31" i="3"/>
  <c r="F6" i="3" l="1"/>
  <c r="F3" i="3"/>
  <c r="O9" i="110" a="1"/>
  <c r="O9" i="110" s="1"/>
  <c r="J143" i="56"/>
  <c r="BG38" i="56"/>
  <c r="BG48" i="56"/>
  <c r="AI28" i="81"/>
  <c r="BG44" i="56"/>
  <c r="BG36" i="56"/>
  <c r="D85" i="3"/>
  <c r="A72" i="3" s="1"/>
  <c r="K20" i="76" s="1"/>
  <c r="BG40" i="56"/>
  <c r="BG46" i="56"/>
  <c r="BG34" i="56"/>
  <c r="BG32" i="56"/>
  <c r="J35" i="129"/>
  <c r="D98" i="3"/>
  <c r="AJ9" i="110" l="1"/>
  <c r="AL9" i="110"/>
  <c r="AK9" i="110"/>
  <c r="O11" i="110" a="1"/>
  <c r="O11" i="110" s="1"/>
  <c r="AJ11" i="110" s="1"/>
  <c r="O12" i="110" a="1"/>
  <c r="O12" i="110" s="1"/>
  <c r="O7" i="110" a="1"/>
  <c r="O7" i="110" s="1"/>
  <c r="AL7" i="110" s="1"/>
  <c r="O10" i="110" a="1"/>
  <c r="O10" i="110" s="1"/>
  <c r="D72" i="3"/>
  <c r="D92" i="3"/>
  <c r="A92" i="3"/>
  <c r="K18" i="76" s="1"/>
  <c r="O26" i="3"/>
  <c r="O32" i="3" s="1"/>
  <c r="P26" i="3"/>
  <c r="P31" i="3" s="1"/>
  <c r="AN3" i="110"/>
  <c r="AD30" i="126"/>
  <c r="AU13" i="128" s="1"/>
  <c r="AV13" i="128" s="1"/>
  <c r="AW13" i="128" s="1"/>
  <c r="AX13" i="128" s="1"/>
  <c r="AY13" i="128" s="1"/>
  <c r="Z38" i="126"/>
  <c r="D27" i="128"/>
  <c r="S28" i="3"/>
  <c r="S29" i="3"/>
  <c r="S31" i="3"/>
  <c r="AK7" i="110" l="1"/>
  <c r="AJ7" i="110"/>
  <c r="AL11" i="110"/>
  <c r="AK11" i="110"/>
  <c r="AK12" i="110"/>
  <c r="AL12" i="110"/>
  <c r="AJ12" i="110"/>
  <c r="AL10" i="110"/>
  <c r="AJ10" i="110"/>
  <c r="AK10" i="110"/>
  <c r="F5" i="3"/>
  <c r="F4" i="3" s="1"/>
  <c r="O50" i="126"/>
  <c r="O48" i="126"/>
  <c r="O5" i="110" l="1" a="1"/>
  <c r="O5" i="110" s="1"/>
  <c r="AR22" i="110" a="1"/>
  <c r="AR22" i="110" s="1"/>
  <c r="O8" i="110" a="1"/>
  <c r="O8" i="110" s="1"/>
  <c r="AR15" i="110" a="1"/>
  <c r="AR15" i="110" s="1"/>
  <c r="O6" i="110" a="1"/>
  <c r="O6" i="110" s="1"/>
  <c r="AR23" i="110" a="1"/>
  <c r="AR23" i="110" s="1"/>
  <c r="AR14" i="110" a="1"/>
  <c r="AR14" i="110" s="1"/>
  <c r="AR16" i="110" a="1"/>
  <c r="AR16" i="110" s="1"/>
  <c r="AR7" i="110" a="1"/>
  <c r="AR7" i="110" s="1"/>
  <c r="AR8" i="110" a="1"/>
  <c r="AR8" i="110" s="1"/>
  <c r="AR21" i="110" a="1"/>
  <c r="AR21" i="110" s="1"/>
  <c r="AR19" i="110" a="1"/>
  <c r="AR19" i="110" s="1"/>
  <c r="AR20" i="110" a="1"/>
  <c r="AR20" i="110" s="1"/>
  <c r="AR17" i="110" a="1"/>
  <c r="AR17" i="110" s="1"/>
  <c r="AR12" i="110" a="1"/>
  <c r="AR12" i="110" s="1"/>
  <c r="AR11" i="110" a="1"/>
  <c r="AR11" i="110" s="1"/>
  <c r="AR18" i="110" a="1"/>
  <c r="AR18" i="110" s="1"/>
  <c r="AR6" i="110" a="1"/>
  <c r="AR6" i="110" s="1"/>
  <c r="AR13" i="110" a="1"/>
  <c r="AR13" i="110" s="1"/>
  <c r="AR5" i="110" a="1"/>
  <c r="AR5" i="110" s="1"/>
  <c r="AR9" i="110" a="1"/>
  <c r="AR9" i="110" s="1"/>
  <c r="AR10" i="110" a="1"/>
  <c r="AR10" i="110" s="1"/>
  <c r="AR4" i="110" a="1"/>
  <c r="AR4" i="110" s="1"/>
  <c r="AH2" i="128"/>
  <c r="AD50" i="78"/>
  <c r="K74" i="79"/>
  <c r="AH2" i="129"/>
  <c r="C13" i="78"/>
  <c r="AD50" i="79"/>
  <c r="C13" i="79"/>
  <c r="C13" i="56"/>
  <c r="D23" i="128"/>
  <c r="D19" i="128"/>
  <c r="K38" i="126"/>
  <c r="X15" i="129"/>
  <c r="X24" i="129" s="1"/>
  <c r="X28" i="129" s="1"/>
  <c r="X32" i="129" s="1"/>
  <c r="S36" i="129" s="1"/>
  <c r="X46" i="126"/>
  <c r="C13" i="81"/>
  <c r="AH2" i="76"/>
  <c r="O4" i="110" a="1"/>
  <c r="O4" i="110" s="1"/>
  <c r="AK6" i="110" l="1"/>
  <c r="AL6" i="110"/>
  <c r="AJ6" i="110"/>
  <c r="AJ8" i="110"/>
  <c r="AK8" i="110"/>
  <c r="AL8" i="110"/>
  <c r="AK5" i="110"/>
  <c r="AL5" i="110"/>
  <c r="AJ5" i="110"/>
  <c r="AJ4" i="110"/>
  <c r="AL4" i="110"/>
  <c r="AK4" i="110"/>
  <c r="AY12" i="128"/>
  <c r="AX12" i="128"/>
  <c r="AW12" i="128"/>
  <c r="AV12" i="128"/>
  <c r="AU12" i="128"/>
  <c r="D31" i="128"/>
  <c r="X50" i="126"/>
  <c r="D36" i="128"/>
  <c r="X48" i="126"/>
  <c r="AI13" i="78" l="1"/>
  <c r="AI13" i="81"/>
  <c r="AI13" i="79"/>
  <c r="AI13" i="56"/>
  <c r="AQ2" i="76"/>
  <c r="AQ2" i="128"/>
  <c r="AQ2" i="129"/>
  <c r="S13" i="81"/>
  <c r="AL2" i="129"/>
  <c r="S13" i="56"/>
  <c r="AL2" i="128"/>
  <c r="S13" i="78"/>
  <c r="S13" i="79"/>
  <c r="AL2" i="7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<sst xmlns="http://schemas.openxmlformats.org/spreadsheetml/2006/main" count="6022" uniqueCount="2144">
  <si>
    <t>Program</t>
  </si>
  <si>
    <t>Application Name</t>
  </si>
  <si>
    <t>Menu Designation</t>
  </si>
  <si>
    <t>Menu Name</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</si>
  <si>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</si>
  <si>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</si>
  <si>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</si>
  <si>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</si>
  <si>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</si>
  <si>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</si>
  <si>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</si>
  <si>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</si>
  <si>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</si>
  <si>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</si>
  <si>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</si>
  <si>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</si>
  <si>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</si>
  <si>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</si>
  <si>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</si>
  <si>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</si>
  <si>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</si>
  <si>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</si>
  <si>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</si>
  <si>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</si>
  <si>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</si>
  <si>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</si>
  <si>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</si>
  <si>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</si>
  <si>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</si>
  <si>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</si>
  <si>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</si>
  <si>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</si>
  <si>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</si>
  <si>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</si>
  <si>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</si>
  <si>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</si>
  <si>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</si>
  <si>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</si>
  <si>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</si>
  <si>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</si>
  <si>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</si>
  <si>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</si>
  <si>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</si>
  <si>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</si>
  <si>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</si>
  <si>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</si>
  <si>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</si>
  <si>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</si>
  <si>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</si>
  <si>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</si>
  <si>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</si>
  <si>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</si>
  <si>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</si>
  <si>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</si>
  <si>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</si>
  <si>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</si>
  <si>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</si>
  <si>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</si>
  <si>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</si>
  <si>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</si>
  <si>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</si>
  <si>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</si>
  <si>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PROJECT INFORMATION</t>
  </si>
  <si>
    <t>Payment Information</t>
  </si>
  <si>
    <t>Project Summary</t>
  </si>
  <si>
    <t>Company and Site Information</t>
  </si>
  <si>
    <t>Title</t>
  </si>
  <si>
    <t>City</t>
  </si>
  <si>
    <t>State</t>
  </si>
  <si>
    <t>Payee Company</t>
  </si>
  <si>
    <t>Location</t>
  </si>
  <si>
    <t>Unit of Measure</t>
  </si>
  <si>
    <t>Material</t>
  </si>
  <si>
    <t>Company Name</t>
  </si>
  <si>
    <t>Address</t>
  </si>
  <si>
    <t>Offer Form</t>
  </si>
  <si>
    <t>Completion Form</t>
  </si>
  <si>
    <t>Signature</t>
  </si>
  <si>
    <t>Submit Application</t>
  </si>
  <si>
    <t>Incentive Offer</t>
  </si>
  <si>
    <t>Applicant Information</t>
  </si>
  <si>
    <t>Contact</t>
  </si>
  <si>
    <t>Zip</t>
  </si>
  <si>
    <t>Site Information</t>
  </si>
  <si>
    <t>Trade Ally/Vendor Information</t>
  </si>
  <si>
    <t>Company</t>
  </si>
  <si>
    <t>Total</t>
  </si>
  <si>
    <t>Date</t>
  </si>
  <si>
    <t>Page 1 of 1</t>
  </si>
  <si>
    <t>Itemized project invoices (including equipment and labor costs)</t>
  </si>
  <si>
    <t>Payee Email</t>
  </si>
  <si>
    <t>Payee Phone</t>
  </si>
  <si>
    <t>Measure Number</t>
  </si>
  <si>
    <t>Energy Type</t>
  </si>
  <si>
    <t>Measure Group</t>
  </si>
  <si>
    <t>Eff Equip Descr</t>
  </si>
  <si>
    <t>Base Equip Descr</t>
  </si>
  <si>
    <t>Unit</t>
  </si>
  <si>
    <t>Inc Rate Unit</t>
  </si>
  <si>
    <t>Measure Life</t>
  </si>
  <si>
    <t>EUL</t>
  </si>
  <si>
    <t>Savings per Unit kWh</t>
  </si>
  <si>
    <t>SUTO</t>
  </si>
  <si>
    <t>Source</t>
  </si>
  <si>
    <t>Electric</t>
  </si>
  <si>
    <t>Lighting</t>
  </si>
  <si>
    <t>LED</t>
  </si>
  <si>
    <t>O</t>
  </si>
  <si>
    <t>Fixture</t>
  </si>
  <si>
    <t>T5</t>
  </si>
  <si>
    <t>T8</t>
  </si>
  <si>
    <t>HVAC</t>
  </si>
  <si>
    <t>Heat Pump</t>
  </si>
  <si>
    <t>Refrigeration</t>
  </si>
  <si>
    <t>Other</t>
  </si>
  <si>
    <t>Compressed Air</t>
  </si>
  <si>
    <t>3 Pan</t>
  </si>
  <si>
    <t>4 Pan</t>
  </si>
  <si>
    <t>5 Pan</t>
  </si>
  <si>
    <t>6 Pan</t>
  </si>
  <si>
    <t>No Controls</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</si>
  <si>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</si>
  <si>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</si>
  <si>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</si>
  <si>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</si>
  <si>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</si>
  <si>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</si>
  <si>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</si>
  <si>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</si>
  <si>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</si>
  <si>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</si>
  <si>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</si>
  <si>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</si>
  <si>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</si>
  <si>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</si>
  <si>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</si>
  <si>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</si>
  <si>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</si>
  <si>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</si>
  <si>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</si>
  <si>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</si>
  <si>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</si>
  <si>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</si>
  <si>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</si>
  <si>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</si>
  <si>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</si>
  <si>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</si>
  <si>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</si>
  <si>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</si>
  <si>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</si>
  <si>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</si>
  <si>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</si>
  <si>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</si>
  <si>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</si>
  <si>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</si>
  <si>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</si>
  <si>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</si>
  <si>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</si>
  <si>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</si>
  <si>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Year</t>
  </si>
  <si>
    <t>Avoided Capacity Cost $/kW</t>
  </si>
  <si>
    <t>Avoided T&amp;D $/kW</t>
  </si>
  <si>
    <t>Cost Benefit Data</t>
  </si>
  <si>
    <t>Electric and Gas Avoided Cost</t>
  </si>
  <si>
    <t>Electricity Losses</t>
  </si>
  <si>
    <t>AT&amp;D Factor</t>
  </si>
  <si>
    <t>Elec. AEC Factor</t>
  </si>
  <si>
    <t>Elec. ACC Factor</t>
  </si>
  <si>
    <t>Year Number</t>
  </si>
  <si>
    <t>Electricity Discount Rate</t>
  </si>
  <si>
    <t>NPV AEC $/kWh</t>
  </si>
  <si>
    <t>NPV ACC+T&amp;D $/kW</t>
  </si>
  <si>
    <t>CB Ratio</t>
  </si>
  <si>
    <t>Base Watt 2</t>
  </si>
  <si>
    <t>RCx</t>
  </si>
  <si>
    <t>Process</t>
  </si>
  <si>
    <t>Water Heating</t>
  </si>
  <si>
    <t>Inspection Form</t>
  </si>
  <si>
    <t>Email</t>
  </si>
  <si>
    <t>Total Custom Electric</t>
  </si>
  <si>
    <t>Total ALL</t>
  </si>
  <si>
    <t>kWh Status</t>
  </si>
  <si>
    <t>Incentive Status</t>
  </si>
  <si>
    <t>Measures</t>
  </si>
  <si>
    <t>M02S02F02</t>
  </si>
  <si>
    <t>M02S02F03</t>
  </si>
  <si>
    <t>M02S02F04</t>
  </si>
  <si>
    <t>M02S02F05</t>
  </si>
  <si>
    <t>M02S02F07</t>
  </si>
  <si>
    <t>M02S02F22</t>
  </si>
  <si>
    <t>M02S02F23</t>
  </si>
  <si>
    <t>M02S02F24</t>
  </si>
  <si>
    <t>M02S02F25</t>
  </si>
  <si>
    <t>M02S02F26</t>
  </si>
  <si>
    <t>M02S02F28</t>
  </si>
  <si>
    <t>M02S02F32</t>
  </si>
  <si>
    <t>M02S02F35</t>
  </si>
  <si>
    <t>M02S02F37</t>
  </si>
  <si>
    <t>M02S02F38</t>
  </si>
  <si>
    <t>M02S03F02</t>
  </si>
  <si>
    <t>M02S03F03</t>
  </si>
  <si>
    <t>M02S03F04</t>
  </si>
  <si>
    <t>M02S03F05</t>
  </si>
  <si>
    <t>M02S03F06</t>
  </si>
  <si>
    <t>M02S03F08</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</si>
  <si>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</si>
  <si>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</si>
  <si>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</si>
  <si>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</si>
  <si>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</si>
  <si>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</si>
  <si>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</si>
  <si>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</si>
  <si>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</si>
  <si>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</si>
  <si>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</si>
  <si>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</si>
  <si>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</si>
  <si>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</si>
  <si>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</si>
  <si>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</si>
  <si>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</si>
  <si>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</si>
  <si>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</si>
  <si>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</si>
  <si>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</si>
  <si>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</si>
  <si>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</si>
  <si>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</si>
  <si>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</si>
  <si>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</si>
  <si>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</si>
  <si>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</si>
  <si>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</si>
  <si>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</si>
  <si>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</si>
  <si>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</si>
  <si>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</si>
  <si>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</si>
  <si>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</si>
  <si>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</si>
  <si>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</si>
  <si>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</si>
  <si>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</si>
  <si>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</si>
  <si>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</si>
  <si>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</si>
  <si>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</si>
  <si>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</si>
  <si>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</si>
  <si>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</si>
  <si>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</si>
  <si>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</si>
  <si>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</si>
  <si>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</si>
  <si>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</si>
  <si>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</si>
  <si>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</si>
  <si>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</si>
  <si>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</si>
  <si>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</si>
  <si>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</si>
  <si>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</si>
  <si>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</si>
  <si>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</si>
  <si>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</si>
  <si>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</si>
  <si>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</si>
  <si>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</si>
  <si>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</si>
  <si>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</si>
  <si>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</si>
  <si>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</si>
  <si>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</si>
  <si>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</si>
  <si>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</si>
  <si>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</si>
  <si>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</si>
  <si>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</si>
  <si>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</si>
  <si>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</si>
  <si>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</si>
  <si>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</si>
  <si>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</si>
  <si>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</si>
  <si>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</si>
  <si>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</si>
  <si>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</si>
  <si>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</si>
  <si>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</si>
  <si>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</si>
  <si>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</si>
  <si>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</si>
  <si>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</si>
  <si>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</si>
  <si>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</si>
  <si>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</si>
  <si>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</si>
  <si>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</si>
  <si>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</si>
  <si>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</si>
  <si>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</si>
  <si>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</si>
  <si>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</si>
  <si>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</si>
  <si>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</si>
  <si>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</si>
  <si>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</si>
  <si>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</si>
  <si>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</si>
  <si>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</si>
  <si>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</si>
  <si>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</si>
  <si>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</si>
  <si>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</si>
  <si>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</si>
  <si>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</si>
  <si>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</si>
  <si>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</si>
  <si>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</si>
  <si>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</si>
  <si>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</si>
  <si>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</si>
  <si>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</si>
  <si>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</si>
  <si>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</si>
  <si>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</si>
  <si>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</si>
  <si>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</si>
  <si>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</si>
  <si>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</si>
  <si>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</si>
  <si>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</si>
  <si>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</si>
  <si>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</si>
  <si>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</si>
  <si>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</si>
  <si>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</si>
  <si>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</si>
  <si>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</si>
  <si>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</si>
  <si>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</si>
  <si>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Contractor-Installed</t>
  </si>
  <si>
    <t>Self-Installed</t>
  </si>
  <si>
    <t>Installer</t>
  </si>
  <si>
    <t>Phone</t>
  </si>
  <si>
    <t>First</t>
  </si>
  <si>
    <t>Last</t>
  </si>
  <si>
    <t>Site</t>
  </si>
  <si>
    <t>Terms</t>
  </si>
  <si>
    <t>Payment to</t>
  </si>
  <si>
    <t>Tax Entity</t>
  </si>
  <si>
    <t>-</t>
  </si>
  <si>
    <t>M02S04F12.1</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</si>
  <si>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</si>
  <si>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</si>
  <si>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</si>
  <si>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</si>
  <si>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</si>
  <si>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</si>
  <si>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</si>
  <si>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</si>
  <si>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</si>
  <si>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</si>
  <si>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</si>
  <si>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</si>
  <si>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</si>
  <si>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</si>
  <si>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</si>
  <si>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</si>
  <si>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Total Incentive</t>
  </si>
  <si>
    <t>Project Status</t>
  </si>
  <si>
    <t>Therm Status</t>
  </si>
  <si>
    <t>Progress</t>
  </si>
  <si>
    <t>Required</t>
  </si>
  <si>
    <t>M03S01-M03S05</t>
  </si>
  <si>
    <t>Progress Status</t>
  </si>
  <si>
    <t>App Version</t>
  </si>
  <si>
    <t>Incentive Total</t>
  </si>
  <si>
    <t>Engineer</t>
  </si>
  <si>
    <t>Status</t>
  </si>
  <si>
    <t>Review Date</t>
  </si>
  <si>
    <t>Savings kWh</t>
  </si>
  <si>
    <t>Trade Ally Contact / Contractor Contact</t>
  </si>
  <si>
    <t>Application Info</t>
  </si>
  <si>
    <t>Site Address</t>
  </si>
  <si>
    <t>City, State, Zip</t>
  </si>
  <si>
    <t>Phone 1/Phone 2</t>
  </si>
  <si>
    <t>Propane</t>
  </si>
  <si>
    <t>Steam</t>
  </si>
  <si>
    <t>Bldg Heat Source</t>
  </si>
  <si>
    <t>Owner/Tenant</t>
  </si>
  <si>
    <t>Annual Hrs/Op</t>
  </si>
  <si>
    <t>Contact Name</t>
  </si>
  <si>
    <t>Notes</t>
  </si>
  <si>
    <t>Payee Information</t>
  </si>
  <si>
    <t>Payee Name</t>
  </si>
  <si>
    <t>Payee Address</t>
  </si>
  <si>
    <t>Tax ID</t>
  </si>
  <si>
    <t>Account Name</t>
  </si>
  <si>
    <t>Savings kW</t>
  </si>
  <si>
    <t>Project Description</t>
  </si>
  <si>
    <t>Project Cost</t>
  </si>
  <si>
    <t>ProjectID</t>
  </si>
  <si>
    <t>MeasureCode</t>
  </si>
  <si>
    <t>UploadID</t>
  </si>
  <si>
    <t>CostBenefit</t>
  </si>
  <si>
    <t>InitialEst.CompletionForm</t>
  </si>
  <si>
    <t>PayeeCompany</t>
  </si>
  <si>
    <t>PayeeAttnTo</t>
  </si>
  <si>
    <t>PayeeAddress1</t>
  </si>
  <si>
    <t>PayeeAddress2</t>
  </si>
  <si>
    <t>PayeeCity</t>
  </si>
  <si>
    <t>PayeeState</t>
  </si>
  <si>
    <t>PayeeZipCode</t>
  </si>
  <si>
    <t>PayeePhone</t>
  </si>
  <si>
    <t>LineNumber</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</si>
  <si>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</si>
  <si>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</si>
  <si>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</si>
  <si>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</si>
  <si>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</si>
  <si>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</si>
  <si>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</si>
  <si>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</si>
  <si>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</si>
  <si>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</si>
  <si>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</si>
  <si>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</si>
  <si>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</si>
  <si>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</si>
  <si>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</si>
  <si>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</si>
  <si>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</si>
  <si>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</si>
  <si>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</si>
  <si>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</si>
  <si>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</si>
  <si>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</si>
  <si>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</si>
  <si>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</si>
  <si>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</si>
  <si>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</si>
  <si>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</si>
  <si>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</si>
  <si>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</si>
  <si>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</si>
  <si>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</si>
  <si>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</si>
  <si>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</si>
  <si>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</si>
  <si>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</si>
  <si>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</si>
  <si>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</si>
  <si>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</si>
  <si>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</si>
  <si>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</si>
  <si>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Lighting Controls</t>
  </si>
  <si>
    <t>Account Number 2</t>
  </si>
  <si>
    <t>End Use to Coincident Peak Demand Factors</t>
  </si>
  <si>
    <t>Factor</t>
  </si>
  <si>
    <t>Interior</t>
  </si>
  <si>
    <t>Payback</t>
  </si>
  <si>
    <t>Avoid Energy Cost $/MWh</t>
  </si>
  <si>
    <t>Peak T&amp;D Adj Factor</t>
  </si>
  <si>
    <t>Capacity Reserve Margin</t>
  </si>
  <si>
    <t>Equation</t>
  </si>
  <si>
    <t>(1+ELOSS)*PEAKTD*(1+CAPRESERVE)*((KWH*NPVAEC)+(KW*NPVACCTD))/PROJCOST</t>
  </si>
  <si>
    <t>Motor / VFD / Pump</t>
  </si>
  <si>
    <t>2 ft</t>
  </si>
  <si>
    <t>Measure Subgroup 1</t>
  </si>
  <si>
    <t>Measure Subgroup 2</t>
  </si>
  <si>
    <t>1 Lamp</t>
  </si>
  <si>
    <t>T12 VHO - 8 ft - 4 Lamp</t>
  </si>
  <si>
    <t>Pulse Start MH - 200 Watt</t>
  </si>
  <si>
    <t>Order</t>
  </si>
  <si>
    <t>11</t>
  </si>
  <si>
    <t>12</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</si>
  <si>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</si>
  <si>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</si>
  <si>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</si>
  <si>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</si>
  <si>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</si>
  <si>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</si>
  <si>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</si>
  <si>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</si>
  <si>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</si>
  <si>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</si>
  <si>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</si>
  <si>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</si>
  <si>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</si>
  <si>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</si>
  <si>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</si>
  <si>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</si>
  <si>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</si>
  <si>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</si>
  <si>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</si>
  <si>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</si>
  <si>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</si>
  <si>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</si>
  <si>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</si>
  <si>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</si>
  <si>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</si>
  <si>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</si>
  <si>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</si>
  <si>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</si>
  <si>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</si>
  <si>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</si>
  <si>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</si>
  <si>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</si>
  <si>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</si>
  <si>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</si>
  <si>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</si>
  <si>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</si>
  <si>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</si>
  <si>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</si>
  <si>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</si>
  <si>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</si>
  <si>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</si>
  <si>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</si>
  <si>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</si>
  <si>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</si>
  <si>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</si>
  <si>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</si>
  <si>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</si>
  <si>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</si>
  <si>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</si>
  <si>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</si>
  <si>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</si>
  <si>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</si>
  <si>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</si>
  <si>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</si>
  <si>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</si>
  <si>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</si>
  <si>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</si>
  <si>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</si>
  <si>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</si>
  <si>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</si>
  <si>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</si>
  <si>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</si>
  <si>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</si>
  <si>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</si>
  <si>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</si>
  <si>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</si>
  <si>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</si>
  <si>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</si>
  <si>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</si>
  <si>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</si>
  <si>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</si>
  <si>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</si>
  <si>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</si>
  <si>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</si>
  <si>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</si>
  <si>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</si>
  <si>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</si>
  <si>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</si>
  <si>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</si>
  <si>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</si>
  <si>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</si>
  <si>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</si>
  <si>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</si>
  <si>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</si>
  <si>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</si>
  <si>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</si>
  <si>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</si>
  <si>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</si>
  <si>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</si>
  <si>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</si>
  <si>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</si>
  <si>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</si>
  <si>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</si>
  <si>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</si>
  <si>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</si>
  <si>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</si>
  <si>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</si>
  <si>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</si>
  <si>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</si>
  <si>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</si>
  <si>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</si>
  <si>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</si>
  <si>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</si>
  <si>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</si>
  <si>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</si>
  <si>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</si>
  <si>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</si>
  <si>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</si>
  <si>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</si>
  <si>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</si>
  <si>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</si>
  <si>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</si>
  <si>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</si>
  <si>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</si>
  <si>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</si>
  <si>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</si>
  <si>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</si>
  <si>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</si>
  <si>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</si>
  <si>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</si>
  <si>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</si>
  <si>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</si>
  <si>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</si>
  <si>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</si>
  <si>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</si>
  <si>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</si>
  <si>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</si>
  <si>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</si>
  <si>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</si>
  <si>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</si>
  <si>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</si>
  <si>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</si>
  <si>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</si>
  <si>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</si>
  <si>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</si>
  <si>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</si>
  <si>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</si>
  <si>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</si>
  <si>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</si>
  <si>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</si>
  <si>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</si>
  <si>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</si>
  <si>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</si>
  <si>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</si>
  <si>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</si>
  <si>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</si>
  <si>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</si>
  <si>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</si>
  <si>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</si>
  <si>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</si>
  <si>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</si>
  <si>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</si>
  <si>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</si>
  <si>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</si>
  <si>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</si>
  <si>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</si>
  <si>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</si>
  <si>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</si>
  <si>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</si>
  <si>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</si>
  <si>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</si>
  <si>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</si>
  <si>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</si>
  <si>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</si>
  <si>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</si>
  <si>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</si>
  <si>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</si>
  <si>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</si>
  <si>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</si>
  <si>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</si>
  <si>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</si>
  <si>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</si>
  <si>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</si>
  <si>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</si>
  <si>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</si>
  <si>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</si>
  <si>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</si>
  <si>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</si>
  <si>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</si>
  <si>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</si>
  <si>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</si>
  <si>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</si>
  <si>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</si>
  <si>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</si>
  <si>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</si>
  <si>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</si>
  <si>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</si>
  <si>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</si>
  <si>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</si>
  <si>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</si>
  <si>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</si>
  <si>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</si>
  <si>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</si>
  <si>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</si>
  <si>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</si>
  <si>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</si>
  <si>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</si>
  <si>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</si>
  <si>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</si>
  <si>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</si>
  <si>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</si>
  <si>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</si>
  <si>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</si>
  <si>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</si>
  <si>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</si>
  <si>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</si>
  <si>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</si>
  <si>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</si>
  <si>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</si>
  <si>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</si>
  <si>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</si>
  <si>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</si>
  <si>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</si>
  <si>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</si>
  <si>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</si>
  <si>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</si>
  <si>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</si>
  <si>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</si>
  <si>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</si>
  <si>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</si>
  <si>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</si>
  <si>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</si>
  <si>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</si>
  <si>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</si>
  <si>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</si>
  <si>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</si>
  <si>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</si>
  <si>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</si>
  <si>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</si>
  <si>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</si>
  <si>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</si>
  <si>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</si>
  <si>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</si>
  <si>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</si>
  <si>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</si>
  <si>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</si>
  <si>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</si>
  <si>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</si>
  <si>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</si>
  <si>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</si>
  <si>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</si>
  <si>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</si>
  <si>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LED - Linear Tube LED Fixture</t>
  </si>
  <si>
    <t>LED - Non Linear LED Fixture</t>
  </si>
  <si>
    <t>Incremental</t>
  </si>
  <si>
    <t>Application Status</t>
  </si>
  <si>
    <t>Measure Type</t>
  </si>
  <si>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</si>
  <si>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</si>
  <si>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</si>
  <si>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</si>
  <si>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</si>
  <si>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</si>
  <si>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</si>
  <si>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</si>
  <si>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Site Address</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</si>
  <si>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</si>
  <si>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</si>
  <si>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</si>
  <si>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Electric Utility Rate</t>
    </r>
    <r>
      <rPr>
        <sz val="11"/>
        <color rgb="FFFF0000"/>
        <rFont val="Arial"/>
        <family val="2"/>
      </rPr>
      <t>*</t>
    </r>
    <r>
      <rPr>
        <sz val="11"/>
        <color theme="1"/>
        <rFont val="Arial"/>
        <family val="2"/>
      </rPr>
      <t xml:space="preserve"> ($/kWh)</t>
    </r>
  </si>
  <si>
    <r>
      <t>Account Number 1</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</si>
  <si>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</si>
  <si>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</si>
  <si>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</si>
  <si>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</si>
  <si>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</si>
  <si>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</si>
  <si>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</si>
  <si>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</si>
  <si>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</si>
  <si>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</si>
  <si>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Not Applicable</t>
  </si>
  <si>
    <t>Eff Watt 22</t>
  </si>
  <si>
    <t>Non-ENERGY STAR Unit</t>
  </si>
  <si>
    <t>Full Size</t>
  </si>
  <si>
    <t>No Anti-Sweat Heater Control</t>
  </si>
  <si>
    <t>less than 15ft3</t>
  </si>
  <si>
    <t>15 to 30 ft3</t>
  </si>
  <si>
    <t>30 to 50ft3</t>
  </si>
  <si>
    <t>more than 50ft3</t>
  </si>
  <si>
    <t>• Calculation or model output (if applicable)</t>
  </si>
  <si>
    <t>• Tax exempt letter (if applicable)</t>
  </si>
  <si>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</si>
  <si>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</si>
  <si>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</si>
  <si>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T5 - 4 ft - 1 Lamp</t>
  </si>
  <si>
    <t>T5 - 4 ft - 2 Lamp</t>
  </si>
  <si>
    <t>T5 - 4 ft - 4 Lamp</t>
  </si>
  <si>
    <t>T5 - 4 ft - 6 Lamp</t>
  </si>
  <si>
    <t>Others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</si>
  <si>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</si>
  <si>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</si>
  <si>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</si>
  <si>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</si>
  <si>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</si>
  <si>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</si>
  <si>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</si>
  <si>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</si>
  <si>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</si>
  <si>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</si>
  <si>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</si>
  <si>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</si>
  <si>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</si>
  <si>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</si>
  <si>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</si>
  <si>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</si>
  <si>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</si>
  <si>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</si>
  <si>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</si>
  <si>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</si>
  <si>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</si>
  <si>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</si>
  <si>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</si>
  <si>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</si>
  <si>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</si>
  <si>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</si>
  <si>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</si>
  <si>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</si>
  <si>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</si>
  <si>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</si>
  <si>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</si>
  <si>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</si>
  <si>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</si>
  <si>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</si>
  <si>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</si>
  <si>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</si>
  <si>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</si>
  <si>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</si>
  <si>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</si>
  <si>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</si>
  <si>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</si>
  <si>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</si>
  <si>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</si>
  <si>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</si>
  <si>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</si>
  <si>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</si>
  <si>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</si>
  <si>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</si>
  <si>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</si>
  <si>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</si>
  <si>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</si>
  <si>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</si>
  <si>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</si>
  <si>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</si>
  <si>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Diversity Business Type</t>
  </si>
  <si>
    <t>Minority Business Enterprise (MBE)</t>
  </si>
  <si>
    <t>Women Business Enterprise (WBE)</t>
  </si>
  <si>
    <t>Small Business Enterprise (SBE)</t>
  </si>
  <si>
    <t>Disadvantaged Business Enterprise (DBE)</t>
  </si>
  <si>
    <t>Veteran Business Enterprise (VBE)</t>
  </si>
  <si>
    <t>Disabled Veteran Business Enterprise (DVBE)</t>
  </si>
  <si>
    <t>LGBT Business Enterprise (LGBTBE)</t>
  </si>
  <si>
    <t>Diversity Issued Org</t>
  </si>
  <si>
    <t>Federal</t>
  </si>
  <si>
    <t>City/County</t>
  </si>
  <si>
    <t>3rd Party</t>
  </si>
  <si>
    <t>M02S01F01</t>
  </si>
  <si>
    <t>M02S01F02</t>
  </si>
  <si>
    <t>M02S01F03</t>
  </si>
  <si>
    <t>Cost Basis</t>
  </si>
  <si>
    <t>CFL</t>
  </si>
  <si>
    <t>New Efficient Lighting Fixture</t>
  </si>
  <si>
    <t>Existing Inefficient Lighting Fixture</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</si>
  <si>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</si>
  <si>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</si>
  <si>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</si>
  <si>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</si>
  <si>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</si>
  <si>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</si>
  <si>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</si>
  <si>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</si>
  <si>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</si>
  <si>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</si>
  <si>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</si>
  <si>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</si>
  <si>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</si>
  <si>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</si>
  <si>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</si>
  <si>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</si>
  <si>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</si>
  <si>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</si>
  <si>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</si>
  <si>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</si>
  <si>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</si>
  <si>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</si>
  <si>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</si>
  <si>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</si>
  <si>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</si>
  <si>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</si>
  <si>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</si>
  <si>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</si>
  <si>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</si>
  <si>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</si>
  <si>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</si>
  <si>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</si>
  <si>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</si>
  <si>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</si>
  <si>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</si>
  <si>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</si>
  <si>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</si>
  <si>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</si>
  <si>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</si>
  <si>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</si>
  <si>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</si>
  <si>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</si>
  <si>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</si>
  <si>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</si>
  <si>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</si>
  <si>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</si>
  <si>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</si>
  <si>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</si>
  <si>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</si>
  <si>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</si>
  <si>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</si>
  <si>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</si>
  <si>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</si>
  <si>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</si>
  <si>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</si>
  <si>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</si>
  <si>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</si>
  <si>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</si>
  <si>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</si>
  <si>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</si>
  <si>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</si>
  <si>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</si>
  <si>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</si>
  <si>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</si>
  <si>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</si>
  <si>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</si>
  <si>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</si>
  <si>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</si>
  <si>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</si>
  <si>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</si>
  <si>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</si>
  <si>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</si>
  <si>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</si>
  <si>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</si>
  <si>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</si>
  <si>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</si>
  <si>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</si>
  <si>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</si>
  <si>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</si>
  <si>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</si>
  <si>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Trade Ally / Vendor Information</t>
  </si>
  <si>
    <t>BizSavers@ameren.com</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</si>
  <si>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</si>
  <si>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</si>
  <si>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</si>
  <si>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</si>
  <si>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</si>
  <si>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</si>
  <si>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</si>
  <si>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</si>
  <si>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</si>
  <si>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</si>
  <si>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</si>
  <si>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</si>
  <si>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</si>
  <si>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</si>
  <si>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</si>
  <si>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MEEIA 2016-2018 Ameren Missouri 100S v1.0</t>
  </si>
  <si>
    <t>Standard</t>
  </si>
  <si>
    <t>Active</t>
  </si>
  <si>
    <t>Heat Pump Water Heater Replacing Water Heater w/ 98% Efficiency 2.9-14.6 kW (10 to 50 MBH)</t>
  </si>
  <si>
    <t>Heat Pump Water Heater ≥3.0 COP</t>
  </si>
  <si>
    <t>Water Heater w/ 98% Efficiency 2.9-14.6 kW (10 to 50 MBH)</t>
  </si>
  <si>
    <t>Electric Resistance Commercial Water Heater w/ 98% Efficiency 2.9-14.6 kW (10 to 50 MBH)</t>
  </si>
  <si>
    <t>Non Lighting</t>
  </si>
  <si>
    <t>Heat Pump Water Heater Replacing Water Heater w/ 98% Efficiency 14.7-29.3 kW (50 to 100 MBH)</t>
  </si>
  <si>
    <t>Water Heater w/ 98% Efficiency 14.7-29.3 kW (50 to 100 MBH)</t>
  </si>
  <si>
    <t>Electric Resistance Commercial Water Heater w/ 98% Efficiency 14.7-29.3 kW (50 to 100 MBH)</t>
  </si>
  <si>
    <t>Heat Pump Water Heater Replacing Water Heater w/ 98% Efficiency 29.4-87.9 kW (100 to 300 MBH)</t>
  </si>
  <si>
    <t>Water Heater w/ 98% Efficiency 29.4-87.9 kW (100 to 300 MBH)</t>
  </si>
  <si>
    <t>Electric Resistance Commercial Water Heater w/ 98% Efficiency 29.4-87.9 kW (100 to 300 MBH)</t>
  </si>
  <si>
    <t>Heat Pump Water Heater Replacing Water Heater w/ 98% Efficiency 88-146.5 kW (300 to 500 MBH)</t>
  </si>
  <si>
    <t>Water Heater w/ 98% Efficiency 88-146.5 kW (300 to 500 MBH)</t>
  </si>
  <si>
    <t>Electric Resistance Commercial Water Heater w/ 98% Efficiency 88-146.5 kW (300 to 500 MBH)</t>
  </si>
  <si>
    <t>Anti-Sweat Heater Controls Replacing No Controls</t>
  </si>
  <si>
    <t>Anti-Sweat Heater Controls</t>
  </si>
  <si>
    <t>Non ENERGY STAR Unit</t>
  </si>
  <si>
    <t>Pool Pump w/ Variable Frequency Drive</t>
  </si>
  <si>
    <t>Pool Pump w/ No Variable Frequency Drive</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</si>
  <si>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</si>
  <si>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</si>
  <si>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</si>
  <si>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</si>
  <si>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</si>
  <si>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</si>
  <si>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</si>
  <si>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</si>
  <si>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Custom/Standard</t>
  </si>
  <si>
    <t>Commercial Cooking / Water Heating</t>
  </si>
  <si>
    <t>Commercial Cooking</t>
  </si>
  <si>
    <t>Dimming / Daylighting Controls</t>
  </si>
  <si>
    <t>Summary Form</t>
  </si>
  <si>
    <t>Pre-approval Required</t>
  </si>
  <si>
    <t>Enter Utility Rate (Project Info Tab)</t>
  </si>
  <si>
    <t>InvoiceDate</t>
  </si>
  <si>
    <t>InstallDate</t>
  </si>
  <si>
    <r>
      <t xml:space="preserve">• Specification sheets of all new equipment </t>
    </r>
    <r>
      <rPr>
        <b/>
        <sz val="11"/>
        <color theme="1"/>
        <rFont val="Arial"/>
        <family val="2"/>
      </rPr>
      <t>(required)</t>
    </r>
  </si>
  <si>
    <t>Spillover kWh</t>
  </si>
  <si>
    <t>Spillover kW</t>
  </si>
  <si>
    <t>Equipment Cost</t>
  </si>
  <si>
    <t>Labor Cost</t>
  </si>
  <si>
    <t>Company (Check)</t>
  </si>
  <si>
    <t>Site (Check)</t>
  </si>
  <si>
    <t>Site (Bill Credit)</t>
  </si>
  <si>
    <r>
      <t>Payment Type</t>
    </r>
    <r>
      <rPr>
        <sz val="11"/>
        <color rgb="FFFF0000"/>
        <rFont val="Arial"/>
        <family val="2"/>
      </rPr>
      <t>*</t>
    </r>
  </si>
  <si>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</si>
  <si>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</si>
  <si>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</si>
  <si>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</si>
  <si>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</si>
  <si>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</si>
  <si>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Bill Credit Account*</t>
  </si>
  <si>
    <t>M02S04F06.1</t>
  </si>
  <si>
    <t>Bill Credit Acc</t>
  </si>
  <si>
    <t>PaymentPreference</t>
  </si>
  <si>
    <t>Payment Preference</t>
  </si>
  <si>
    <t xml:space="preserve">Efficient Air Compressor </t>
  </si>
  <si>
    <t>Efficient Air Compressor (Incremental)</t>
  </si>
  <si>
    <t>Impl. Specialist</t>
  </si>
  <si>
    <t>Application</t>
  </si>
  <si>
    <t>Calculations</t>
  </si>
  <si>
    <t>Invoices</t>
  </si>
  <si>
    <t>InitialSpecSheets</t>
  </si>
  <si>
    <t>TaxExemptLetter</t>
  </si>
  <si>
    <t>DesignTeamForm</t>
  </si>
  <si>
    <t>ProgramContactPC</t>
  </si>
  <si>
    <t>4.01</t>
  </si>
  <si>
    <t>4.02</t>
  </si>
  <si>
    <t>T8 25 Watt - 4 ft - 6 Lamp</t>
  </si>
  <si>
    <t>T8 28 Watt - 4 ft - 6 Lamp</t>
  </si>
  <si>
    <t>T8 32 Watt - 4 ft - 6 Lamp</t>
  </si>
  <si>
    <t>ComEd (Interpolated)</t>
  </si>
  <si>
    <t>Incentive Less Than $150</t>
  </si>
  <si>
    <t>4.03</t>
  </si>
  <si>
    <t>ProjectType</t>
  </si>
  <si>
    <t>Op Hr 1</t>
  </si>
  <si>
    <t>Op Hr 2</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</si>
  <si>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</si>
  <si>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</si>
  <si>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</si>
  <si>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</si>
  <si>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</si>
  <si>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</si>
  <si>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</si>
  <si>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</si>
  <si>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</si>
  <si>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</si>
  <si>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</si>
  <si>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</si>
  <si>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</si>
  <si>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</si>
  <si>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</si>
  <si>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</si>
  <si>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</si>
  <si>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</si>
  <si>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4.1.2</t>
  </si>
  <si>
    <t>Fixed issue in custom lighting from 12mo payback to 18mo</t>
  </si>
  <si>
    <t>~~~~~~~~~~~~~~~~~~~~~~~~~~~~~</t>
  </si>
  <si>
    <t>Measure Validator</t>
  </si>
  <si>
    <t>End of Expiration changes, program guideline changes, prescriptive measure additions, LM Captures compatibility related changes</t>
  </si>
  <si>
    <t>Cooling Only HVAC Equipment (Incremental)</t>
  </si>
  <si>
    <t>VFD for Process Motor</t>
  </si>
  <si>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</si>
  <si>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</si>
  <si>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</si>
  <si>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</si>
  <si>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</si>
  <si>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</si>
  <si>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</si>
  <si>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</si>
  <si>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</si>
  <si>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</si>
  <si>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Project Number</t>
  </si>
  <si>
    <t>Project Site Address</t>
  </si>
  <si>
    <t>Energy Efficiency Incentive Offer</t>
  </si>
  <si>
    <t>Approving Engineer</t>
  </si>
  <si>
    <t>Estimated Measure Costs</t>
  </si>
  <si>
    <t>3. Customer Signature</t>
  </si>
  <si>
    <t>sign here</t>
  </si>
  <si>
    <t>date here</t>
  </si>
  <si>
    <t>Sign and date here. We encourage electronic submission. A typewritten signature is acceptable and will have the same effect as a pen signature.</t>
  </si>
  <si>
    <r>
      <t xml:space="preserve">Ameren Missouri’s </t>
    </r>
    <r>
      <rPr>
        <b/>
        <i/>
        <sz val="11"/>
        <color theme="0"/>
        <rFont val="Arial"/>
        <family val="2"/>
      </rPr>
      <t>BizSavers</t>
    </r>
    <r>
      <rPr>
        <sz val="11"/>
        <color theme="0"/>
        <rFont val="Arial"/>
        <family val="2"/>
      </rPr>
      <t xml:space="preserve"> Program • 866.941.7299 • BizSavers@ameren.com • AmerenMissouri.com/</t>
    </r>
    <r>
      <rPr>
        <b/>
        <i/>
        <sz val="11"/>
        <color theme="0"/>
        <rFont val="Arial"/>
        <family val="2"/>
      </rPr>
      <t>BizSavers</t>
    </r>
  </si>
  <si>
    <t>1. Update Installed Measures</t>
  </si>
  <si>
    <t>4. Submit Labor and Equipment Invoices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</si>
  <si>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</si>
  <si>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</si>
  <si>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</si>
  <si>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</si>
  <si>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</si>
  <si>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 xml:space="preserve">Please submit this signed document in Excel format along with invoices for labor and equipment to </t>
    </r>
    <r>
      <rPr>
        <sz val="11"/>
        <color rgb="FF0000FF"/>
        <rFont val="Arial"/>
        <family val="2"/>
      </rPr>
      <t>BizSavers@ameren.com</t>
    </r>
    <r>
      <rPr>
        <sz val="11"/>
        <color theme="1"/>
        <rFont val="Arial"/>
        <family val="2"/>
      </rPr>
      <t xml:space="preserve"> for final review.</t>
    </r>
  </si>
  <si>
    <t>Custom Incentive Completion for</t>
  </si>
  <si>
    <t>BizSavers Program Approval</t>
  </si>
  <si>
    <t>4.2.2</t>
  </si>
  <si>
    <t>Fixed Standard Incandescent to LED A-line measure wattage range. Originally adjusted for halogen but not incandescent.</t>
  </si>
  <si>
    <t>Entertainment/Recreation</t>
  </si>
  <si>
    <t>Incentivized kWh</t>
  </si>
  <si>
    <t>Incentivized kW</t>
  </si>
  <si>
    <t>Incentivized Cost</t>
  </si>
  <si>
    <t>Total Cost (Includes ALL Measures)</t>
  </si>
  <si>
    <t>Business Development Lead</t>
  </si>
  <si>
    <t>Bus. Devel. Lead</t>
  </si>
  <si>
    <t>Controls (Incremental)</t>
  </si>
  <si>
    <t>Engineers</t>
  </si>
  <si>
    <t>Fred</t>
  </si>
  <si>
    <t>Travis</t>
  </si>
  <si>
    <t>Wade</t>
  </si>
  <si>
    <t>BDLead</t>
  </si>
  <si>
    <t>ProjectGroup</t>
  </si>
  <si>
    <t>NCEstimatedDesignDate</t>
  </si>
  <si>
    <t>NCEstimatedBidDate</t>
  </si>
  <si>
    <t>NCEstimatedStartDate</t>
  </si>
  <si>
    <t>NCProjectType</t>
  </si>
  <si>
    <t>NCBaseline</t>
  </si>
  <si>
    <t>NCSquareFootage</t>
  </si>
  <si>
    <t>NCAnnualHrs</t>
  </si>
  <si>
    <t>ProjectNarrative</t>
  </si>
  <si>
    <t>Exterior 24/7</t>
  </si>
  <si>
    <t>Lighting Schedule</t>
  </si>
  <si>
    <t>Qualifying Standard or Custom Measure(s) Entered</t>
  </si>
  <si>
    <t>Exterior Dusk-to-Dawn</t>
  </si>
  <si>
    <t>Please review application information and proceed with submission.</t>
  </si>
  <si>
    <t>Click on underlined links above to jump to section.</t>
  </si>
  <si>
    <t>Travis Jones</t>
  </si>
  <si>
    <t>Controls</t>
  </si>
  <si>
    <t>4.3.0</t>
  </si>
  <si>
    <t>Revamped Offer and Completion Form
Added Taylor and Laurie to Impl. Specialist dropdown
removed space for "entertainment/recreation" building type in dropdown
corrected reference on export file to link Design Team Meeting form correctly
added payment typ to PC summary
added project type to export
added total cost and savings calculations for incentivized measures in template worksheet
added Bob and Mackenzie to IS dropdown
added optional dropdown for BD lead on Project Information tab. Added reference on PC Summary by removing Inspection Date
Changed "Head Pressure Control" in custom refrigeration dropdown to "Controls"
Added Josh to Engineer dropdown, and moved to table list
Added Rate Class and Rate to PC summary
only permit numbers in Year Built, Sq Ft, and custom rate fields
Corrected calculation of PerUnitkWhEff in Export file
added T&amp;C signatory to PC summary
revised language in section 16 of Terms and Conditions
added method to set spillover status for standard measures
Expiration extended to March 2017
Fixed sums, export links, and links regarding Standard HVAC/MISC tab</t>
  </si>
  <si>
    <t>4.3.1</t>
  </si>
  <si>
    <t>HVAC Uses</t>
  </si>
  <si>
    <t>Heating Coincidence Factor</t>
  </si>
  <si>
    <t>Fixed wattage check for LED screw bulb efficient wattages
Corrected prescriptive measure #301132
Added customer-facing dropdown list for HVAC/ Cooling end use to HVAC Tab
Moved Rate Class/ Rate on PC Summary to make it more obvious
Offer and Completion Forms now show non-incentiveized measure costs
Added Data Validation and formatting to all date fields
Added a heating coincidence factor of 1.04 to all interior lighting kWh savings
Removed 30%penalty to standard BR reflector lamp savings
Added Monique to IS list</t>
  </si>
  <si>
    <t>Upgrade Only</t>
  </si>
  <si>
    <t>Fixture Delamp</t>
  </si>
  <si>
    <t>--Select--</t>
  </si>
  <si>
    <t>4.4.0</t>
  </si>
  <si>
    <t>N/A</t>
  </si>
  <si>
    <t>More Projects Planned?</t>
  </si>
  <si>
    <t>Updated holidays to 2017 dates on operating hours calculator
Redesigned standard linear tube lighting tab to add standard delamping measure, updated Export file, updated measure list
Added Jordan Thompson to PC list
Added Jim Travis to BD list, removed Claudia, corrected some BD name spellings
Added check for whether inefficienct kWh is greater than or equal to (instead of just greater than) efficienct kWh in linear tube lighting tab
Added section for BD contact on Offer and Completion forms
Changed total cost on PC summary to pull from Export tab to hopefully correct rounding error
Hardcoded Fred Schreiber in the approving Offer field
Changed instances of "paperwork" to "documentation"
Changed Rate on PC Summary to 4 decimal places
Changed color of incentive summary in top right corner
Fixed link to TLED promotion
Added buttons and links to SBDI and EMS programs in Welcome section
Changed expiration date to 4/30/17
Updated T&amp;C</t>
  </si>
  <si>
    <t>Frederick M. Schreiber</t>
  </si>
  <si>
    <t>4.4.1</t>
  </si>
  <si>
    <t>Fixed rounding issue in custom lighting and standard linear lighting, applied coincidence factor before rounding
Added Bob, John, and Kristin to BDs, updated with cell numbers
The "Review and Sign" status is based on signed date now instead of signature field. 
Revised completion form language for BD contact section</t>
  </si>
  <si>
    <t>4.4.2</t>
  </si>
  <si>
    <t>Corrected cell references in the Template Form to Offers and Completions display standard incentives and savings correctly</t>
  </si>
  <si>
    <t>4.5.0</t>
  </si>
  <si>
    <t>Inc Rate Exterior</t>
  </si>
  <si>
    <t>HIF</t>
  </si>
  <si>
    <t>Unconditioned</t>
  </si>
  <si>
    <t>T8 - 4ft - 6 Lamp - 32W</t>
  </si>
  <si>
    <t>6 lamp</t>
  </si>
  <si>
    <t>T8 - 8ft - 6 Lamp - 59W</t>
  </si>
  <si>
    <t>T12 - 4 ft - 6 lamp</t>
  </si>
  <si>
    <t>Rick Gabrielson</t>
  </si>
  <si>
    <t>Corrected 2016 references to 2017 in AOH calculators
Added calculation of incentive for Exterior and Garage Dusk to Dawn lighting. Revised Export tab for Custom Ext Lighting program and measures
Changed "Not Applicable" in Space Conditioning dropdown list to "Unconditioned"
Changed Lighting Coincidence Factor from 1.04 to 1.07
Changed expiration date from 4/30 to 8/31/17
Added clarification that delamping incentives are per 4 ft lamp on standard incentive list
Added 6 lamp T12 and T8 fixture to default custom lighting wattage list
Added notifications to advise inputer for correction when 24/7 lights on &lt;8760 hours, or if Dusk to Dawn/ Misc exterior lights are on &gt;8500 hours
Deleted Bob, John, and Kelly from IS drop down. Deleted Gary and Stephanie from Engineering drop down
Centered BD contact information on Offer and Completion forms
Added checks to address work around on 24/7 exterior standard. Now application doesn't show incentive when less than 8500 hrs selected with 24/7 exterior lighting
Changed Program Updates tiles on welcome page to highlight exterior incentives
Added Rick Gabrielson to BD list</t>
  </si>
  <si>
    <t>4.6.0</t>
  </si>
  <si>
    <t>Not Eligible for BizSavers Program</t>
  </si>
  <si>
    <r>
      <t xml:space="preserve">Once you are ready to submit, please attach your completed application and supporting documentation to an email and send it to: </t>
    </r>
    <r>
      <rPr>
        <sz val="11"/>
        <color rgb="FF1B6CB5"/>
        <rFont val="Arial"/>
        <family val="2"/>
      </rPr>
      <t>BizSavers@ameren.com</t>
    </r>
  </si>
  <si>
    <t>Added T5 Prescriptive Measures and updated measure list
Added eligibility check for multi-family low income housing on the Project Information page. Rearranged Site Information page
Removed qualification for Historical Tax Credit
Added additional confirmation for installed measures for standard projects on Application Review page. Also added notification that standard project not complete
New Program Updates button on Welcome page
Corrected apportioning of upgrading/ delamping kWh savings from split measures to account for heating coincidence factor
Deleted Draft Email button and updated language for submission instructions 
Updated IS and Engineer personnel lists</t>
  </si>
  <si>
    <t>4.7.0</t>
  </si>
  <si>
    <t>Halogen MR-16 35-50W</t>
  </si>
  <si>
    <t>Changed tube replacement to return an error value of "0" instead of "ERROR"
Added notification on each measure input tab that displays when individual measures are being capped
Revised "More Projects Planned?" sections on Offer and Completion forms to display hotline information if no BD is selected
Removed Kristin from BD list
Added Hanna to IS list
Made additional clarification regarding fixture replacement in lamp dropdowns on standard screw ins
Fixed unit fields on custom tabs to disallow decimals
Introduced rounding to nearest cent to material and labor unit cost calculations on Export page
Changed expiration date to 12/31/17</t>
  </si>
  <si>
    <t>Capped</t>
  </si>
  <si>
    <t>4.7.1</t>
  </si>
  <si>
    <t>Deemed kW was not calculating for linear lighting past the 5th row. Extended calculation to the entire column
Removed data validation check against invoice date for installed date on Review and Completion tab
Added a check to confirm that valid selection is made for screw-in standard lighting location type</t>
  </si>
  <si>
    <t>Measure Category</t>
  </si>
  <si>
    <t>T5HO</t>
  </si>
  <si>
    <t>Replace Fixture</t>
  </si>
  <si>
    <t>Replace Lamps</t>
  </si>
  <si>
    <t>Metal Halide Nominal</t>
  </si>
  <si>
    <t>Metal Halide Ballast</t>
  </si>
  <si>
    <t>Pulse Start Metal Halide Nominal</t>
  </si>
  <si>
    <t>Pulse Start Metal Halide Ballast</t>
  </si>
  <si>
    <t>Mercury Vapor Nominal</t>
  </si>
  <si>
    <t>Mercury Vapor Ballast</t>
  </si>
  <si>
    <t>High Pressure Sodium Nominal</t>
  </si>
  <si>
    <t>High Pressure Sodium Ballast</t>
  </si>
  <si>
    <t>Ballast Factor</t>
  </si>
  <si>
    <t>Halogen</t>
  </si>
  <si>
    <t>Incandescent</t>
  </si>
  <si>
    <t>Exit Sign</t>
  </si>
  <si>
    <t>Exit Sign Incandescent</t>
  </si>
  <si>
    <t>5.0.0</t>
  </si>
  <si>
    <t>Incandescent A-Lamp &gt;40W</t>
  </si>
  <si>
    <t>Halogen A-Lamp &gt;28W</t>
  </si>
  <si>
    <t>A-Lamp &gt;40W</t>
  </si>
  <si>
    <t>Industrial Ceiling Fan</t>
  </si>
  <si>
    <t>Industrial Ceiling Fan (Incremental)</t>
  </si>
  <si>
    <t>Incandescent PAR</t>
  </si>
  <si>
    <t>Incandescent PAR-BR/R-LED</t>
  </si>
  <si>
    <t>Incandescent BR/R-BR/R-LED</t>
  </si>
  <si>
    <t>Incandescent BR/R</t>
  </si>
  <si>
    <t>Incandescent PAR-PAR-LED</t>
  </si>
  <si>
    <t>Incandescent BR/R-PAR-LED</t>
  </si>
  <si>
    <t>• Payee Company's W-9 (recommended)</t>
  </si>
  <si>
    <t>Redesigned all Standard Lighting and introduced new standard incentives based on per watt saved
Change expiration date to 3/16/18
Changed Holiday Calendar in OH calculator to 2018 dates
Updated in-app standard measure list with new measures
Added large industrial ceiling fan custom measures
Staffing changes to IS and Engineering dropdowns
Formatting and typographical corrections</t>
  </si>
  <si>
    <t>MH - 150 Watt</t>
  </si>
  <si>
    <t>Pulse Start MH - 1000 Watt</t>
  </si>
  <si>
    <t>5.0.1</t>
  </si>
  <si>
    <t>Corrected display of payback information on Project Summary when measures entered on Screw In Standard tab</t>
  </si>
  <si>
    <t>5.1.0</t>
  </si>
  <si>
    <t>Baseline kWh</t>
  </si>
  <si>
    <t>T8 - 4ft - 6 Lamp - 32W HBF</t>
  </si>
  <si>
    <t>Added warnings for approaching due date and instructions to go to website or contact BD
Corrected some formatting and hidden formulas throughout measure input pages
Added display of baseline kWh to Application Summary and PC Summary
Added proper capitalization tags to site and contect information in PC Summary
Removed headers in lighting dropdowns with "Invalid" wattages to simplify entry
Added option for entry of 6L T8 with high ballast factor</t>
  </si>
  <si>
    <t>5.1.1</t>
  </si>
  <si>
    <t>5.2.0</t>
  </si>
  <si>
    <t>Removed ability to overide auto-populating baseline wattages for standard fluorescent and HID measures. Removed option for "Other"</t>
  </si>
  <si>
    <t>Based on Ameren data provided in July 2018</t>
  </si>
  <si>
    <t>Updated by Travis Jones 7/11/18</t>
  </si>
  <si>
    <t>T12 - 2 ft - 3 Lamp</t>
  </si>
  <si>
    <t>T12 - 2 ft - 4 Lamp</t>
  </si>
  <si>
    <t>T12 - 3 ft - 3 Lamp</t>
  </si>
  <si>
    <t>T12 - 3 ft - 4 Lamp</t>
  </si>
  <si>
    <t>Column1</t>
  </si>
  <si>
    <t>T8 - 2 ft - 3 Lamp</t>
  </si>
  <si>
    <t>T8 - 2 ft - 4 Lamp</t>
  </si>
  <si>
    <t>T8 - 3 ft - 3 Lamp</t>
  </si>
  <si>
    <t>T8 - 3 ft - 4 Lamp</t>
  </si>
  <si>
    <t>T8 - 4 ft - 6 Lamp</t>
  </si>
  <si>
    <t>T8 - 4 ft - 6 L High Bay</t>
  </si>
  <si>
    <t>T8 - 4 ft - 8 L High Bay</t>
  </si>
  <si>
    <t>T12 - U-Tube - 3 Lamp</t>
  </si>
  <si>
    <t>T8 - U-Tube - 3 Lamp</t>
  </si>
  <si>
    <t>T5 - 4 ft - 3 Lamp</t>
  </si>
  <si>
    <t>T5 - 4 ft - 8 Lamp</t>
  </si>
  <si>
    <t>T5 HO - 4 ft - 3 Lamp</t>
  </si>
  <si>
    <t>MH - 50 Watt</t>
  </si>
  <si>
    <t>Pulse Start MH - 350 Watt</t>
  </si>
  <si>
    <t>MH Source</t>
  </si>
  <si>
    <t>Xcel</t>
  </si>
  <si>
    <t>PS MH Source</t>
  </si>
  <si>
    <t>MV Source</t>
  </si>
  <si>
    <t>MV - 1000 Watt</t>
  </si>
  <si>
    <t>HPS Source</t>
  </si>
  <si>
    <t>Pre Approval End Date</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</si>
  <si>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</si>
  <si>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</si>
  <si>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</si>
  <si>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</si>
  <si>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</si>
  <si>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</si>
  <si>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</si>
  <si>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</si>
  <si>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</si>
  <si>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</si>
  <si>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</si>
  <si>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</si>
  <si>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</si>
  <si>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</si>
  <si>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</si>
  <si>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</si>
  <si>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</si>
  <si>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</si>
  <si>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T8 - 4ft - 2 Lamp - 64W</t>
  </si>
  <si>
    <t>T8 - 2ft - 3 Lamp - 18W</t>
  </si>
  <si>
    <t>T8 - 2ft - 4 Lamp - 18W</t>
  </si>
  <si>
    <t>T8 - 3ft - 2 Lamp - 25W</t>
  </si>
  <si>
    <t>T8 - 3ft - 4 Lamp - 25W</t>
  </si>
  <si>
    <t>T8 - U-Tube - 3 Lamp - 30W</t>
  </si>
  <si>
    <t>T8 - 4ft - 8 Lamp - 32W HBF</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</si>
  <si>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</si>
  <si>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</si>
  <si>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</si>
  <si>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</si>
  <si>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</si>
  <si>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</si>
  <si>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</si>
  <si>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</si>
  <si>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</si>
  <si>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</si>
  <si>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</si>
  <si>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</si>
  <si>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Added indicator that data has been entered on a measure tab
Added non-one-to-one replacements of standard lighting incentive measures
Added several new options for prescriptive baseline fluorescent and HID fixtures and deemed wattages. Also adjusted the wattage and sourcing for several existing fluorescent and HID fixtures on the custom and prescriptive tabs
Added notification that the pre-approval deadline has passed.
Updated standard lighting measure incentives
Updated avoided costs and start yearsin benefit cost calculation
Staffing changes
Rearranged custom pages so lighting tab is first
Added data validation to lamp/ fixture cell on standard linear tab
Renamed "Company Information" on Summary Tab to "Company Site Information"</t>
  </si>
  <si>
    <t>T12 - 6 ft - 1 Lamp</t>
  </si>
  <si>
    <t>T12 - 6 ft - 2 Lamp</t>
  </si>
  <si>
    <t>T12 - 6ft - 1 Lamp - 80W Actual</t>
  </si>
  <si>
    <t>T12 - 6ft - 2 Lamp - 122W Actual</t>
  </si>
  <si>
    <t>6 ft</t>
  </si>
  <si>
    <t>T8 - 6 ft - 1 Lamp</t>
  </si>
  <si>
    <t>T8 - 6 ft - 2 Lamp</t>
  </si>
  <si>
    <t>5 ft</t>
  </si>
  <si>
    <t>T5 - 5ft - 1 Lamp - 35W</t>
  </si>
  <si>
    <t>T5 - 5ft - 2 Lamp - 35W</t>
  </si>
  <si>
    <t>T5 - 2 ft - 1 Lamp</t>
  </si>
  <si>
    <t>T5 - 2 ft - 2 Lamp</t>
  </si>
  <si>
    <t>T5 - 2ft - 1 Lamp - 14W</t>
  </si>
  <si>
    <t>T5 - 2ft - 2 Lamp - 14W</t>
  </si>
  <si>
    <t>MH - 1500 Watt</t>
  </si>
  <si>
    <t>MH 1500W</t>
  </si>
  <si>
    <t>1500 Watt</t>
  </si>
  <si>
    <t>MH - 2000 Watt</t>
  </si>
  <si>
    <t>MH 2000W</t>
  </si>
  <si>
    <t>2000 Watt</t>
  </si>
  <si>
    <t>5.3.0</t>
  </si>
  <si>
    <t>T12 - 5 ft - 1 Lamp</t>
  </si>
  <si>
    <t>T12 - 5 ft - 2 Lamp</t>
  </si>
  <si>
    <t>T12 - 5ft - 1 Lamp - 72W Actual</t>
  </si>
  <si>
    <t>T12 - 5ft - 2 Lamp - 111W Actual</t>
  </si>
  <si>
    <t>T8 - 5 ft - 1 Lamp</t>
  </si>
  <si>
    <t>T8 - 5 ft - 2 Lamp</t>
  </si>
  <si>
    <t>T8 - 5 ft - 3 Lamp</t>
  </si>
  <si>
    <t>T8 - 5 ft - 4 Lamp</t>
  </si>
  <si>
    <t>T8 - 5ft - 1 Lamp - 40W</t>
  </si>
  <si>
    <t>T8 - 5ft - 2 Lamp - 40W</t>
  </si>
  <si>
    <t>T8 - 5ft - 3 Lamp - 40W</t>
  </si>
  <si>
    <t>T8 - 5ft - 4 Lamp - 40W</t>
  </si>
  <si>
    <t>T8 - 6ft - 1 Lamp - 46W</t>
  </si>
  <si>
    <t>T8 - 6ft - 2 Lamp - 46W</t>
  </si>
  <si>
    <t>T5 - 5 ft - 1 Lamp</t>
  </si>
  <si>
    <t>T5 - 5 ft - 2 Lamp</t>
  </si>
  <si>
    <t>T12 - 4 ft - 6 Lamp</t>
  </si>
  <si>
    <t>T8 - 8 ft - 6 Lamp</t>
  </si>
  <si>
    <t>Changed expiration date to end of cycle
Added additional default options in linear fluorescent and HID dropdowns
Staffing changes
Added 2019 holiday dates to operating hours calculator</t>
  </si>
  <si>
    <t>5.3.1</t>
  </si>
  <si>
    <t>Changed expiration date to 1/31/19- submittal deadline for completion paperwork
Removed expiration date warnings and allowed display of incentive and savings past expiration date</t>
  </si>
  <si>
    <t>Address:</t>
  </si>
  <si>
    <t>Site Address:</t>
  </si>
  <si>
    <t>Contact Phone:</t>
  </si>
  <si>
    <t>Contact Email:</t>
  </si>
  <si>
    <t>Vendor Company:</t>
  </si>
  <si>
    <t>Vendor Contact:</t>
  </si>
  <si>
    <t>Over 5 years you could save</t>
  </si>
  <si>
    <t>Annual Cost Savings</t>
  </si>
  <si>
    <t>Estimated Incentive</t>
  </si>
  <si>
    <r>
      <t>1</t>
    </r>
    <r>
      <rPr>
        <vertAlign val="superscript"/>
        <sz val="14"/>
        <rFont val="Arial"/>
        <family val="2"/>
      </rPr>
      <t>st</t>
    </r>
    <r>
      <rPr>
        <sz val="14"/>
        <rFont val="Arial"/>
        <family val="2"/>
      </rPr>
      <t xml:space="preserve"> Year ROI</t>
    </r>
  </si>
  <si>
    <r>
      <t xml:space="preserve">Energy Savings </t>
    </r>
    <r>
      <rPr>
        <i/>
        <sz val="24"/>
        <color theme="0"/>
        <rFont val="Arial"/>
        <family val="2"/>
      </rPr>
      <t>Report</t>
    </r>
  </si>
  <si>
    <t>Yes - Approved Trade Ally</t>
  </si>
  <si>
    <t>Yes - Independent Vendor</t>
  </si>
  <si>
    <t>No</t>
  </si>
  <si>
    <t>Impact Summary</t>
  </si>
  <si>
    <t xml:space="preserve">Saving </t>
  </si>
  <si>
    <t>homes powered</t>
  </si>
  <si>
    <t>for one month</t>
  </si>
  <si>
    <t>is equivalent to…</t>
  </si>
  <si>
    <t>To print this report go to File -&gt; Print. Under "Printer" select your local printer to print a paper copy or select your default PDF application to save a digital copy.</t>
  </si>
  <si>
    <t>.</t>
  </si>
  <si>
    <t>Total kWh Savings</t>
  </si>
  <si>
    <t>Total kW Savings</t>
  </si>
  <si>
    <t>Without Incentive</t>
  </si>
  <si>
    <t>With Incentive</t>
  </si>
  <si>
    <t>metric tons CO2/kWh</t>
  </si>
  <si>
    <t>metric tons C02E/vehicle/year</t>
  </si>
  <si>
    <t>metric tons CO2/home/month.</t>
  </si>
  <si>
    <t>metric tons CO2E/ton of waste recycled instead of landfilled</t>
  </si>
  <si>
    <t>https://www.eia.gov/tools/faqs/faq.php?id=74&amp;t=11</t>
  </si>
  <si>
    <r>
      <t>metric tons of CO</t>
    </r>
    <r>
      <rPr>
        <b/>
        <vertAlign val="subscript"/>
        <sz val="18"/>
        <color theme="1"/>
        <rFont val="Arial"/>
        <family val="2"/>
      </rPr>
      <t>2</t>
    </r>
  </si>
  <si>
    <t>https://www.epa.gov/energy/greenhouse-gases-equivalencies-calculator-calculations-and-references</t>
  </si>
  <si>
    <t>vehicles removed from</t>
  </si>
  <si>
    <t>the road for one year</t>
  </si>
  <si>
    <t>tons of waste recycled</t>
  </si>
  <si>
    <t>instead of landfilled</t>
  </si>
  <si>
    <t>STANDARD MEASURES</t>
  </si>
  <si>
    <t>CUSTOM MEASURES</t>
  </si>
  <si>
    <t>Custom Lighting</t>
  </si>
  <si>
    <t>FORM7</t>
  </si>
  <si>
    <t>Inc Rate Unit PA</t>
  </si>
  <si>
    <t>Inc Rate Unit FT</t>
  </si>
  <si>
    <t>MEEIA 2019-2021 Ameren Missouri</t>
  </si>
  <si>
    <t>Anti-Sweat Heater Controls - Refrigerator</t>
  </si>
  <si>
    <t>Anti-Sweat Heater Controls - Freezer</t>
  </si>
  <si>
    <t>ENERGY STAR Commercial Vertical Glass Door Freezers &lt;15ft3</t>
  </si>
  <si>
    <t>ENERGY STAR Commercial Vertical Glass Door Freezers 15-30ft3</t>
  </si>
  <si>
    <t>ENERGY STAR Commercial Vertical Glass Door Freezers 30-50ft3</t>
  </si>
  <si>
    <t>ENERGY STAR Commercial Vertical Glass Door Freezers &gt;50ft3</t>
  </si>
  <si>
    <t>ENERGY STAR Commercial Vertical Solid Door Freezers &lt;15ft3</t>
  </si>
  <si>
    <t>ENERGY STAR Commercial Vertical Solid Door Freezers 15-30ft3</t>
  </si>
  <si>
    <t>ENERGY STAR Commercial Vertical Solid Door Freezers 30-50ft3</t>
  </si>
  <si>
    <t>ENERGY STAR Commercial Vertical Solid Door Freezers &gt;50ft3</t>
  </si>
  <si>
    <t>ENERGY STAR Commercial Solid or Glass Door Freezer</t>
  </si>
  <si>
    <t>ENERGY STAR Horizontal Closed Solid or Glass Door Freezer Replacing Non ENERGY STAR Unit</t>
  </si>
  <si>
    <t>ENERGY STAR Commercial Horizontal Solid or Glass Door Freezers</t>
  </si>
  <si>
    <t>&lt;15 cubic ft ENERGY STAR Commercial Vertical Solid Door Refrigerator Replacing Non ENERGY STAR Unit</t>
  </si>
  <si>
    <t>&lt;15 cubic ft ENERGY STAR Commercial Solid Door Refrigerator</t>
  </si>
  <si>
    <t>ENERGY STAR Commercial Vertical Solid Door Refrigerators &lt;15ft3</t>
  </si>
  <si>
    <t>ENERGY STAR Horizontal Closed Solid or Glass Door Refrigerator Replacing Non ENERGY STAR Unit</t>
  </si>
  <si>
    <t>ENERGY STAR Commercial Solid or Glass Door Refrigerator</t>
  </si>
  <si>
    <t>Any Volume</t>
  </si>
  <si>
    <t>ENERGY STAR Commercial Horizontal Solid or Glass Door Refrigerator</t>
  </si>
  <si>
    <t>Redesign</t>
  </si>
  <si>
    <t>VFDs</t>
  </si>
  <si>
    <t>Learning Thermostat</t>
  </si>
  <si>
    <t>Non-Programmed Thermostat</t>
  </si>
  <si>
    <t>Eff Ton 1</t>
  </si>
  <si>
    <t>Eff Ton 2</t>
  </si>
  <si>
    <t>Mechanical Equipment Upgrade</t>
  </si>
  <si>
    <t>HVAC Equipment and Thermostats</t>
  </si>
  <si>
    <t>Redesign with Controls</t>
  </si>
  <si>
    <t>Chilled Water Pump w/ Variable Frequency Drive</t>
  </si>
  <si>
    <t>Chilled Water Pump w/ No Variable Frequency Drive</t>
  </si>
  <si>
    <t>HP</t>
  </si>
  <si>
    <t>Hot Water Pump w/ Variable Frequency Drive</t>
  </si>
  <si>
    <t>Hot Water Pump w/ No Variable Frequency Drive</t>
  </si>
  <si>
    <t>HVAC Fan w/ Variable Frequency Drive</t>
  </si>
  <si>
    <t>HVAC Fan w/ No Variable Frequency Drive</t>
  </si>
  <si>
    <t>Eff HP 1</t>
  </si>
  <si>
    <t>Eff HP 2</t>
  </si>
  <si>
    <t>LED Fixture</t>
  </si>
  <si>
    <t>6.0.0</t>
  </si>
  <si>
    <t>Redesign-LED-No</t>
  </si>
  <si>
    <t>Redesign-LED-Yes</t>
  </si>
  <si>
    <t>Total Pre Approval</t>
  </si>
  <si>
    <t>Total Fast Track</t>
  </si>
  <si>
    <t>Controller</t>
  </si>
  <si>
    <t>Savings per ton per EER kWh</t>
  </si>
  <si>
    <t>ENERGY STAR Hot Holding Cabinets &gt;28 cu ft</t>
  </si>
  <si>
    <t>&gt;28 cu ft</t>
  </si>
  <si>
    <t>MEEIA 2019-2019 Ameren Missouri</t>
  </si>
  <si>
    <t>Base EER 2</t>
  </si>
  <si>
    <t>Base EER1</t>
  </si>
  <si>
    <t>Halogen PAR &gt;48W</t>
  </si>
  <si>
    <t>Halogen BR/R &gt;45W</t>
  </si>
  <si>
    <t>Redesigned for Cycle 4
Updated Terms and Conditions
Reset exp. Date to 5/31/19</t>
  </si>
  <si>
    <t>Redesign LED</t>
  </si>
  <si>
    <t>Linear Tube LED Retrofit</t>
  </si>
  <si>
    <t>Non-Linear LED Lamp Retrofit</t>
  </si>
  <si>
    <t>Total Standard Electric</t>
  </si>
  <si>
    <t>Garage 24/7</t>
  </si>
  <si>
    <t>LIGHTING MEASURES</t>
  </si>
  <si>
    <t>Pre-Approval Interior Linear-LED or Redesign</t>
  </si>
  <si>
    <t>Interior HID to LED</t>
  </si>
  <si>
    <t>Interior Fast Track Linear-LED</t>
  </si>
  <si>
    <t>Efficient Linear LEDs</t>
  </si>
  <si>
    <t>Plug and Play (Type A)</t>
  </si>
  <si>
    <t>Type A/B Hybrid</t>
  </si>
  <si>
    <t>Direct Wire (Type B)</t>
  </si>
  <si>
    <t>External Driver (Type C)</t>
  </si>
  <si>
    <t>Retrofit Kit</t>
  </si>
  <si>
    <t>Kit w/ Network Cntrls</t>
  </si>
  <si>
    <t>Fixture w/ Network Cntrl</t>
  </si>
  <si>
    <t>ENERGY STAR Vertical Closed Glass Door Freezer 0 &lt; V &lt; 15</t>
  </si>
  <si>
    <t>ENERGY STAR Vertical Closed Glass Door Freezer 0 &lt; V &lt; 15 Replacing non-ENERGYSTAR Unit</t>
  </si>
  <si>
    <t>ENERGY STAR Freezer</t>
  </si>
  <si>
    <t>non-ENERGY STAR Vertical Closed Glass Door Freezer 0 &lt; V &lt; 15</t>
  </si>
  <si>
    <t>801900</t>
  </si>
  <si>
    <t>ENERGY STAR Vertical Closed Glass Door Freezer 15 ≤ V &lt; 30</t>
  </si>
  <si>
    <t>ENERGY STAR Vertical Closed Glass Door Freezer 15 ≤ V &lt; 30 Replacing non-ENERGYSTAR Unit</t>
  </si>
  <si>
    <t>non-ENERGY STAR Vertical Closed Glass Door Freezer 15 &lt;= V &lt; 30</t>
  </si>
  <si>
    <t>801950</t>
  </si>
  <si>
    <t>ENERGY STAR Vertical Closed Glass Door Freezer 30 ≤ V &lt; 50</t>
  </si>
  <si>
    <t>ENERGY STAR Vertical Closed Glass Door Freezer 30 ≤ V &lt; 50 Replacing non-ENERGYSTAR Unit</t>
  </si>
  <si>
    <t>non-ENERGY STAR Vertical Closed Glass Door Freezer 30 &lt;= V &lt; 50</t>
  </si>
  <si>
    <t>801800</t>
  </si>
  <si>
    <t>ENERGY STAR Vertical Closed Glass Door Freezer 50 ≤ V</t>
  </si>
  <si>
    <t>ENERGY STAR Vertical Closed Glass Door Freezer 50 ≤ V Replacing non-ENERGYSTAR Unit</t>
  </si>
  <si>
    <t>non-ENERGY STAR Vertical Closed Glass Door Freezer 50 &lt;= V</t>
  </si>
  <si>
    <t>802050</t>
  </si>
  <si>
    <t>ENERGY STAR Vertical Closed Solid Door Freezer 0 &lt; V &lt; 15</t>
  </si>
  <si>
    <t>ENERGY STAR Vertical Closed Solid Door Freezer 0 &lt; V &lt; 15 Replacing non-ENERGYSTAR Unit</t>
  </si>
  <si>
    <t>non-ENERGY STAR Vertical Closed Solid Door Freezer 0 &lt; V &lt; 15</t>
  </si>
  <si>
    <t>801700</t>
  </si>
  <si>
    <t>ENERGY STAR Vertical Closed Solid Door Freezer 15 ≤ V &lt; 30</t>
  </si>
  <si>
    <t>ENERGY STAR Vertical Closed Solid Door Freezer 15 ≤ V &lt; 30 Replacing non-ENERGYSTAR Unit</t>
  </si>
  <si>
    <t>non-ENERGY STAR Vertical Closed Solid Door Freezer 15 &lt;= V &lt; 30</t>
  </si>
  <si>
    <t>801750</t>
  </si>
  <si>
    <t>ENERGY STAR Vertical Closed Solid Door Freezer 30 ≤ V &lt; 50</t>
  </si>
  <si>
    <t>ENERGY STAR Vertical Closed Solid Door Freezer 30 ≤ V &lt; 50 Replacing non-ENERGYSTAR Unit</t>
  </si>
  <si>
    <t>non-ENERGY STAR Vertical Closed Solid Door Freezer 30 &lt;= V &lt; 50</t>
  </si>
  <si>
    <t>ENERGY STAR Vertical Closed Solid Door Freezer 50 ≤ V</t>
  </si>
  <si>
    <t>ENERGY STAR Vertical Closed Solid Door Freezer 50 ≤ V Replacing non-ENERGYSTAR Unit</t>
  </si>
  <si>
    <t>non-ENERGY STAR Vertical Closed Solid Door Freezer 50 &lt;= V</t>
  </si>
  <si>
    <t>80150</t>
  </si>
  <si>
    <t>Anti-Sweat Heater Controls for Refrigerator</t>
  </si>
  <si>
    <t>802150</t>
  </si>
  <si>
    <t>Anti-Sweat Heater Controls for Freezer</t>
  </si>
  <si>
    <t>802200</t>
  </si>
  <si>
    <t>ENERGY STAR Horizontal Closed Freezer</t>
  </si>
  <si>
    <t>ENERGY STAR Vertical Closed Solid Door Refrigerator 0 &lt; V &lt;= 15</t>
  </si>
  <si>
    <t>ENERGY STAR Refrigerator</t>
  </si>
  <si>
    <t>801250</t>
  </si>
  <si>
    <t>ENERGY STAR Horizontal Closed Refrigerator</t>
  </si>
  <si>
    <t>801650</t>
  </si>
  <si>
    <t>Water Heater 2.9 to 14.6 kW (10 to 50 MBH) - Heat Pump with &gt;= 3.0 COP Replacing Electric Resistance</t>
  </si>
  <si>
    <t>802250</t>
  </si>
  <si>
    <t>Water Heater 14.7 - 29.3 kW  (50 to 100 MBH)- Heat Pump with &gt;= 3.0 COP Replacing Electric Resistance</t>
  </si>
  <si>
    <t>802300</t>
  </si>
  <si>
    <t>Water Heater 29.4 - 87.9 kW  (100 to 300 MBH)- Heat Pump with &gt;= 3.0 COP Replacing Electric Resistance</t>
  </si>
  <si>
    <t>802350</t>
  </si>
  <si>
    <t>Water Heater 88 - 146.5 kW (300 to 500 MBH) - Heat Pump with &gt;= 3.0 COP Replacing Electric Resistance</t>
  </si>
  <si>
    <t>802400</t>
  </si>
  <si>
    <t>803100</t>
  </si>
  <si>
    <t>Variable Frequency DrivePump for Hot Water 1 - 75 HP Replacing no Variable Frequency Drive</t>
  </si>
  <si>
    <t>803150</t>
  </si>
  <si>
    <t>VFD Pump for Pool</t>
  </si>
  <si>
    <t>Variable Frequency Drive Pump for Pool Replacing no Variable Frequency Drive</t>
  </si>
  <si>
    <t>802600</t>
  </si>
  <si>
    <t>803200</t>
  </si>
  <si>
    <t>ENERGY STAR 3 Pan Steam Cooker</t>
  </si>
  <si>
    <t>ENERGY STAR 3 Pan Steam Cooker Replacing non-Energy Star Unit</t>
  </si>
  <si>
    <t>802700</t>
  </si>
  <si>
    <t>ENERGY STAR 4 Pan Steam Cooker</t>
  </si>
  <si>
    <t>ENERGY STAR 4 Pan Steam Cooker Replacing non-Energy Star Unit</t>
  </si>
  <si>
    <t>802750</t>
  </si>
  <si>
    <t>ENERGY STAR 5 Pan Steam Cooker</t>
  </si>
  <si>
    <t>ENERGY STAR 5 Pan Steam Cooker Replacing non-Energy Star Unit</t>
  </si>
  <si>
    <t>802800</t>
  </si>
  <si>
    <t>ENERGY STAR 6 Pan Steam Cooker</t>
  </si>
  <si>
    <t>ENERGY STAR 6 Pan Steam Cooker Replacing non-Energy Star Unit</t>
  </si>
  <si>
    <t>802850</t>
  </si>
  <si>
    <t>ENERGY STAR Hot Holding Cabinet V ≥ 28</t>
  </si>
  <si>
    <t>ENERGY STAR Hot Holding Cabinet V ≥ 28 Replacing non-Energy Star Unit</t>
  </si>
  <si>
    <t>803000</t>
  </si>
  <si>
    <t>4040301</t>
  </si>
  <si>
    <t>4040300</t>
  </si>
  <si>
    <t>4020601</t>
  </si>
  <si>
    <t>4020401</t>
  </si>
  <si>
    <t>4090101</t>
  </si>
  <si>
    <t>4020801</t>
  </si>
  <si>
    <t>4090201</t>
  </si>
  <si>
    <t>4090301</t>
  </si>
  <si>
    <t>4020301</t>
  </si>
  <si>
    <t>4040501</t>
  </si>
  <si>
    <t>4080101</t>
  </si>
  <si>
    <t>4080201</t>
  </si>
  <si>
    <t>4052121</t>
  </si>
  <si>
    <t>4080801</t>
  </si>
  <si>
    <t>4052111</t>
  </si>
  <si>
    <t>4080701</t>
  </si>
  <si>
    <t>4050801</t>
  </si>
  <si>
    <t>4100401</t>
  </si>
  <si>
    <t>4040401</t>
  </si>
  <si>
    <t>4100201</t>
  </si>
  <si>
    <t>4100301</t>
  </si>
  <si>
    <t>4100511</t>
  </si>
  <si>
    <t>4100521</t>
  </si>
  <si>
    <t>4100601</t>
  </si>
  <si>
    <t>4040601</t>
  </si>
  <si>
    <t>4100200</t>
  </si>
  <si>
    <t>4100300</t>
  </si>
  <si>
    <t>4100400</t>
  </si>
  <si>
    <t>4030500</t>
  </si>
  <si>
    <t>4030501</t>
  </si>
  <si>
    <t>802100</t>
  </si>
  <si>
    <t>Total Fast Track Electric</t>
  </si>
  <si>
    <t>KEEP "v" in version number</t>
  </si>
  <si>
    <t>EquipmentLife</t>
  </si>
  <si>
    <t>EffEfficiency</t>
  </si>
  <si>
    <t>6.0.1</t>
  </si>
  <si>
    <t>SpecLife</t>
  </si>
  <si>
    <t>4010100</t>
  </si>
  <si>
    <t>4010200</t>
  </si>
  <si>
    <t>4010300</t>
  </si>
  <si>
    <t>4010101</t>
  </si>
  <si>
    <t>4010201</t>
  </si>
  <si>
    <t>4010301</t>
  </si>
  <si>
    <t>4100510</t>
  </si>
  <si>
    <t>4100520</t>
  </si>
  <si>
    <t>4100600</t>
  </si>
  <si>
    <t>4040600</t>
  </si>
  <si>
    <t>Added columns for EXPORT and addressed a few other csv issues
Addded new measure numbers to previously hidden rows</t>
  </si>
  <si>
    <t>6.0.2</t>
  </si>
  <si>
    <t>Changed EffEfficiency column in EXPORT to display 2 decimals
Fixed display of VFD motor size in EXPORT
Doubled deemed savings of anti-sweat controls to square controllers/ doors discrepancy
Corrected incentive calculation for addition of fixtures for lighting
Changed standard HVAC deemed savings to calculation savings based on TRM formula</t>
  </si>
  <si>
    <t>6.0.3</t>
  </si>
  <si>
    <t>Correct issue with calculating savings of kWh savings for Network controlled and non-Networked controlled HID to LED refits
Corrected measure numbers for anti-sweat controllers</t>
  </si>
  <si>
    <t>6.0.4</t>
  </si>
  <si>
    <t>As part of our commitment to achieve realized savings, all projects are subject to random inspections. If you receive a visit from one of our inspectors they will refer to this project, ask a couple of questions, and perform a verification.</t>
  </si>
  <si>
    <r>
      <t xml:space="preserve">• Material and labor invoices </t>
    </r>
    <r>
      <rPr>
        <b/>
        <sz val="11"/>
        <color theme="1"/>
        <rFont val="Arial"/>
        <family val="2"/>
      </rPr>
      <t>(required after installation)</t>
    </r>
  </si>
  <si>
    <t>Fast Track Incentive Cap Adjustment</t>
  </si>
  <si>
    <t>Added ton equivalents to standard HVAC dropdowns
Fixed the some of the counter fields for showing tab checkmarks so they won't display an error when the incentive is an error
Changed some wording on the Submit instructions
Auto populated some fields in Document Tracking in PC Summary
Corrected calculation of labor costs on csv for linear Fast Track
Corrected deemed savings for horizaontal freezers
Added automatic adjustment of incentive when Fast Track cap is exceeded</t>
  </si>
  <si>
    <t>Toll Free 866-941-7299</t>
  </si>
  <si>
    <t>6.0.5</t>
  </si>
  <si>
    <t>Updated Terms and Conditions</t>
  </si>
  <si>
    <t>Cumulative Cost</t>
  </si>
  <si>
    <t>Cumulative Savings</t>
  </si>
  <si>
    <t>Year 1</t>
  </si>
  <si>
    <t>Year 2</t>
  </si>
  <si>
    <t>Year 3</t>
  </si>
  <si>
    <t>Year 4</t>
  </si>
  <si>
    <t>Year 5</t>
  </si>
  <si>
    <t>Total Estimated Incentive</t>
  </si>
  <si>
    <t>Estimated Annual Bill Savings</t>
  </si>
  <si>
    <t>Payback Summary</t>
  </si>
  <si>
    <t>6.1.0</t>
  </si>
  <si>
    <t>T12 HO- 4 ft - 1 Lamp</t>
  </si>
  <si>
    <t>T12 HO - 4 ft - 2 Lamp</t>
  </si>
  <si>
    <t>T12 HO - 4 ft - 4 Lamp</t>
  </si>
  <si>
    <t>T12 HO- 4 ft - 1 Lamp - 60W Actual</t>
  </si>
  <si>
    <t>T12 HO - 4 ft - 2 Lamp - 120W Actual</t>
  </si>
  <si>
    <t>T12 HO - 4 ft - 4 Lamp - 240W Actual</t>
  </si>
  <si>
    <t>To print this graph go to File -&gt; Print. Under "Printer" select your local printer to print a paper copy or select your default PDF application to save a digital copy.</t>
  </si>
  <si>
    <t>Total Project Cost - No Incentive</t>
  </si>
  <si>
    <t>Total Project Cost - With Incentive</t>
  </si>
  <si>
    <t>First Year ROI- With Incentive</t>
  </si>
  <si>
    <t>Estimated Simple Payback- With Incentive</t>
  </si>
  <si>
    <t>Added payback graph to project summary
Added T12 HO 4 ft to baseline lists
Added fields for Project Contributor on TA Information Page
Added additional options for Incandescent/ Halogen replacements
Correct HVAC Fan VFD standard incentive to $80/hp instead of $85
Restricted Redesign baselines to HIDs and fluorescent
Corrected end uses for standard VFD measures
Auto-fill 8760 operating hours for Exit Sign measures
Expiration date 8/30
Removed Hidden Protections from some user-input cells so entries can be viewed in the formula bar
Clarified entry of thermostat units and cooling capacity</t>
  </si>
  <si>
    <t>Financing Summary</t>
  </si>
  <si>
    <t>Project Cost - No Incentive</t>
  </si>
  <si>
    <t>Project Cost With Incentive</t>
  </si>
  <si>
    <t>Annual Interest Rate</t>
  </si>
  <si>
    <t>Down Payment (%)</t>
  </si>
  <si>
    <t>Loan Term (months)</t>
  </si>
  <si>
    <t>Unincentivized Monthly Payment</t>
  </si>
  <si>
    <t>Incentivized Monthly Payment</t>
  </si>
  <si>
    <t>Unincentivized Total Cost</t>
  </si>
  <si>
    <t>Incentivized Total Cost</t>
  </si>
  <si>
    <t>Total Interest Paid - No Incentive</t>
  </si>
  <si>
    <t>Total Interest Paid - Incentive</t>
  </si>
  <si>
    <t>in financing</t>
  </si>
  <si>
    <t>6.2.0</t>
  </si>
  <si>
    <t>You may adjust your interest rate, down payment, and loan period</t>
  </si>
  <si>
    <t>Bonus</t>
  </si>
  <si>
    <t>CheckPresentation</t>
  </si>
  <si>
    <t>M02S02F47</t>
  </si>
  <si>
    <t>Others (Describe)</t>
  </si>
  <si>
    <t>Induction (Describe)</t>
  </si>
  <si>
    <t>Neon (Describe)</t>
  </si>
  <si>
    <t>Signage (Describe)</t>
  </si>
  <si>
    <t>No, I am not interested in a check presentation</t>
  </si>
  <si>
    <t>Yes, I am interested in a check presentation with the BizSavers team</t>
  </si>
  <si>
    <t>The BizSavers Program offers the option for a team member to present a jumbo check to your business after completion of your project.</t>
  </si>
  <si>
    <t>Terms &amp; Conditions and Eligibility</t>
  </si>
  <si>
    <t>Contact Information</t>
  </si>
  <si>
    <r>
      <t>Phone</t>
    </r>
    <r>
      <rPr>
        <sz val="11"/>
        <color rgb="FFFF0000"/>
        <rFont val="Arial"/>
        <family val="2"/>
      </rPr>
      <t>*</t>
    </r>
  </si>
  <si>
    <t>Survey Contact</t>
  </si>
  <si>
    <t>Added financing summary
Added lamp life entry to custom lighting
Changed CFL to Linear LED EUL to 12 years for C/B calculation
Do not apply HCIF when the space is unconditioned
Clarified sizes ranges for standard HVAC projects
Exterior and Garage 24/7 lamp life  must be 100,000 hours or greater
Added field for check presentation preference completion form and csv
Added input for Technical Contact and ensured that it and Project Contributors display on the PC Summary
Added dropdown to linear LED lamp life to reduce incidence of incorrect entry
Added reference to Split Systems for custom HVAC measures
Removed Terms and Conditions from the document and linked to
Staffing changes
Rearranged Company, Site, and Contact Information</t>
  </si>
  <si>
    <t>Contact:</t>
  </si>
  <si>
    <t>6.3.0</t>
  </si>
  <si>
    <t>Advanced RTU Controls</t>
  </si>
  <si>
    <t>6.2.1</t>
  </si>
  <si>
    <t>Allowed entry of 2020 dates when signing T&amp;C</t>
  </si>
  <si>
    <t>Electronically Commutated Motor</t>
  </si>
  <si>
    <t>Electronically Commutated Motor (ECM)</t>
  </si>
  <si>
    <t>Electronically Commutated Motor (ECM) Replacing Shaded-pole Motor with No Fan Control in Refrigerated Display Case or Walk-in Cooling Unit</t>
  </si>
  <si>
    <t>Electonically Commutated Motor (ECM)</t>
  </si>
  <si>
    <t>Shaded-Pole Motor</t>
  </si>
  <si>
    <t>Motor</t>
  </si>
  <si>
    <t>Shaded-Pole Motor With No Fan Control</t>
  </si>
  <si>
    <t>No Loss Condensate Drain</t>
  </si>
  <si>
    <t>High-Efficiency Air Nozzle</t>
  </si>
  <si>
    <t>No Loss Condensate Drain Replacing Open Valve or Timer Condensate Drain</t>
  </si>
  <si>
    <t>High-Efficiency Air Nozzle Replacing Standard Air Nozzle</t>
  </si>
  <si>
    <t>Compressed Air Equipment</t>
  </si>
  <si>
    <t>Standard Air Nozzle</t>
  </si>
  <si>
    <t>Open Valve or Timer Condensate Drain</t>
  </si>
  <si>
    <t>Drain</t>
  </si>
  <si>
    <t>Nozzle</t>
  </si>
  <si>
    <t/>
  </si>
  <si>
    <t>Jane Parker</t>
  </si>
  <si>
    <t>806050</t>
  </si>
  <si>
    <t>804650</t>
  </si>
  <si>
    <t>804960</t>
  </si>
  <si>
    <t>Demand Control Ventilation (Gas Heat)</t>
  </si>
  <si>
    <t>Demand Control Ventilation (Heat Pump)</t>
  </si>
  <si>
    <t>Demand Control Ventilation (Electric Heat)</t>
  </si>
  <si>
    <t>ASHP Baseline SEER 13.0</t>
  </si>
  <si>
    <t>Chiller Baseline 0.96 kW/ton</t>
  </si>
  <si>
    <t>Chiller Baseline 0.94 kW/ton</t>
  </si>
  <si>
    <t>Space with No Demand Control Ventilation</t>
  </si>
  <si>
    <t>1000 sq ft</t>
  </si>
  <si>
    <t>Tons</t>
  </si>
  <si>
    <r>
      <t>Site Name</t>
    </r>
    <r>
      <rPr>
        <sz val="11"/>
        <color rgb="FFFF0000"/>
        <rFont val="Arial"/>
        <family val="2"/>
      </rPr>
      <t>*</t>
    </r>
  </si>
  <si>
    <t>Removed edit protections from check presentation checkboxes
Added Advanced Rooftop Control to std HVAC
Added Demand Control Ventilation to std HVAC
Added ECM measure to std refrigeration- End Use of Misc.
Added Compressed Air Measures
Changed VFD for Fans End Use to HVAC from Motors
Corrected unit EXPORT for Standard VFD Measures
Updated Cost Benefit NPV data and holidays for 2020
Restricted custom lighting efficient options to only LEDs
Deleted in-app display of Standard incentives and linked to an online PDF
Staffing Changes. Removed option for "None" as BD
Added HCF to CSV
Updated expiration date to 5/1/20
Standard measures now request total costs
Ensured display of lighting kWh savings even when space conditioning type is unselected- savings defaults to HCF of 1.0
Labeled SIte Name as required
Altered template so that Install Status and Date of Completion count as progress on T&amp;C page and not Project Info page</t>
  </si>
  <si>
    <t>Constant Speed Supply Fan</t>
  </si>
  <si>
    <t>Product of TRC Companies</t>
  </si>
  <si>
    <t>6.3.1</t>
  </si>
  <si>
    <t>Revised End Uses on some VFD measures</t>
  </si>
  <si>
    <t>6.3.2</t>
  </si>
  <si>
    <t>Change expiration date</t>
  </si>
  <si>
    <t>6.4.0</t>
  </si>
  <si>
    <t>Updated CB calculation for custom lighting
Changed expiration date to 7/1
IS and BD personnel changes</t>
  </si>
  <si>
    <t>Eligible Bonus</t>
  </si>
  <si>
    <t>Actual Bonus</t>
  </si>
  <si>
    <t>Original Incentive</t>
  </si>
  <si>
    <t>Bonus Eligible Cost</t>
  </si>
  <si>
    <t>Bonus Adj</t>
  </si>
  <si>
    <t>Actual Bonus Check</t>
  </si>
  <si>
    <t>6.5.0</t>
  </si>
  <si>
    <t>ASHP Baseline IEER 11.2</t>
  </si>
  <si>
    <t>ASHP Baseline IEER 10.7</t>
  </si>
  <si>
    <t>ASHP Baseline IEER 9.6</t>
  </si>
  <si>
    <t>Chilled Water Pump w/ VFD &gt;= 1 HP</t>
  </si>
  <si>
    <t>Chilled Water Pump w/ No VFD &gt;= 1 HP</t>
  </si>
  <si>
    <t>Variable Frequency Drive Pump for Chilled Water &gt;= 1 HP Replacing no Variable Frequency Drive</t>
  </si>
  <si>
    <t>VFD Pump for Chilled Water &gt;= 1 HP</t>
  </si>
  <si>
    <t>VFD Pump for Hot Water &gt;= 1 HP</t>
  </si>
  <si>
    <t>Hot Water Pump w/ No VFD &gt;= 1 HP</t>
  </si>
  <si>
    <t>Hot Water Pump w/ VFD &gt;= 1 HP</t>
  </si>
  <si>
    <t>HVAC Fan w/ VFD &gt;= 1 HP</t>
  </si>
  <si>
    <t>HVAC Fan w/ No VFD &gt;= 1 HP</t>
  </si>
  <si>
    <t>Variable Frequency Drive Fan for HVAC &gt;= 1 HP Replacing no Variable Frequency Drive</t>
  </si>
  <si>
    <t>VFD Fan for HVAC &gt;= 1 HP</t>
  </si>
  <si>
    <t>Variable Frequency Drive Pump for Condenser Water Pump &gt;= 1 HP Replacing no Variable Frequency Drive</t>
  </si>
  <si>
    <t>Condenser Water Pump w/ Variable Frequency Drive</t>
  </si>
  <si>
    <t>VFD For Pump</t>
  </si>
  <si>
    <t>Condenser Water Pump w/ No Variable Frequency Drive</t>
  </si>
  <si>
    <t>Chilled Water Pump w/No Variable Frequency Drive</t>
  </si>
  <si>
    <t>803160</t>
  </si>
  <si>
    <t>803155</t>
  </si>
  <si>
    <t>Condenser Water Pump w/ No VFD &gt;= 1 HP</t>
  </si>
  <si>
    <t>Condenser Water Pump w/ VFD &gt;= 1 HP</t>
  </si>
  <si>
    <t>VFD On Cooling Tower Fan &gt;= 1 HP</t>
  </si>
  <si>
    <t>Cooling Tower Fan w/ No VFD &gt;= 1 HP</t>
  </si>
  <si>
    <t>Variable Frequency Drive Pump for Cooling Tower Fan &gt;= 1 HP Replacing no Variable Frequency Drive</t>
  </si>
  <si>
    <t>Cooling Tower Fan w/ Variable Frequency Drive</t>
  </si>
  <si>
    <t>Cooling Tower Fan w/ No Variable Frequency Drive</t>
  </si>
  <si>
    <t>Actual Bonus Inc.</t>
  </si>
  <si>
    <t>Total New Incentive</t>
  </si>
  <si>
    <t>Eligible Bonus Inc.</t>
  </si>
  <si>
    <t>End Use</t>
  </si>
  <si>
    <t>ESF</t>
  </si>
  <si>
    <t>Occupancy Sensors</t>
  </si>
  <si>
    <t>Column2</t>
  </si>
  <si>
    <t>Column3</t>
  </si>
  <si>
    <t>Column4</t>
  </si>
  <si>
    <t>Base Condition</t>
  </si>
  <si>
    <t>No existing occupancy sensor</t>
  </si>
  <si>
    <t>Kitchen Demand Control Ventilation</t>
  </si>
  <si>
    <t>Kitchen Demand Control Ventilation replacing Kitchen Ventilation with Constant Speed Motor</t>
  </si>
  <si>
    <t>Constant Speed Motor</t>
  </si>
  <si>
    <t>805410</t>
  </si>
  <si>
    <t>Kitchen Ventilation with Constant Speed Fan</t>
  </si>
  <si>
    <t>VFD Compressor Replacing Modulating Compressor with Blowdown</t>
  </si>
  <si>
    <t>Watt 1</t>
  </si>
  <si>
    <t>Fixture Mounted Occupancy Sensor Controlling &gt; 60 W</t>
  </si>
  <si>
    <t>VFD Air Compressor</t>
  </si>
  <si>
    <t>Modulating Compressor</t>
  </si>
  <si>
    <t>805000</t>
  </si>
  <si>
    <t>VFD Air Compressor 5-40 HP</t>
  </si>
  <si>
    <t>Modulating Compressor with Blow-Down</t>
  </si>
  <si>
    <t>High Volume, Low Speed Fans</t>
  </si>
  <si>
    <t>High Volume Low Speed Fan, 20-foot</t>
  </si>
  <si>
    <t>High Volume Low Speed Fan, 22-foot</t>
  </si>
  <si>
    <t>High Volume Low Speed Fan, 24-foot</t>
  </si>
  <si>
    <t>Fan</t>
  </si>
  <si>
    <t>Remote Mounted Occupancy Sensor Controlling &gt;150 W</t>
  </si>
  <si>
    <t>4070101</t>
  </si>
  <si>
    <t>4070100</t>
  </si>
  <si>
    <t>Cooling Tower Fan w/ VFD &gt;= 1 HP</t>
  </si>
  <si>
    <t>DX System Baseline SEER 13.0</t>
  </si>
  <si>
    <t>DX System Baseline IEER 11.2</t>
  </si>
  <si>
    <t>DX System Baseline IEER 11.0</t>
  </si>
  <si>
    <t>DX System Baseline IEER 9.9</t>
  </si>
  <si>
    <t>DX System Baseline IEER 9.6</t>
  </si>
  <si>
    <t>Multiple non-HVLS Fans</t>
  </si>
  <si>
    <t>By my signature (type in your name for electronic signature) below I certify and authorize the following:</t>
  </si>
  <si>
    <t>1)</t>
  </si>
  <si>
    <t xml:space="preserve">2) </t>
  </si>
  <si>
    <t>I authorize Ameren Missouri to access energy usage data for the specified accounts at the physical site address of the project listed above and release to the Trade Ally listed on this application.</t>
  </si>
  <si>
    <t>3)</t>
  </si>
  <si>
    <t>I agree that Ameren Missouri may include my name, city or county of business, Program services/ incentives and resulting energy savings in reports or other documentation submitted to Ameren Missouri</t>
  </si>
  <si>
    <t>and relevant agencies administering energy programs. Ameren Missouri will treat all other information gathered through the program as confidential.</t>
  </si>
  <si>
    <t>4)</t>
  </si>
  <si>
    <t>5)</t>
  </si>
  <si>
    <t>6)</t>
  </si>
  <si>
    <t>I acknowledge that details of this Program, including incentive levels and availability, are subject to change without notice.</t>
  </si>
  <si>
    <t>7)</t>
  </si>
  <si>
    <r>
      <t xml:space="preserve">I acknowledge </t>
    </r>
    <r>
      <rPr>
        <b/>
        <sz val="11"/>
        <color theme="1"/>
        <rFont val="Arial"/>
        <family val="2"/>
      </rPr>
      <t>THIS CONTRACT CONTAINS A BINDING ARBITRATION PROVISION WHICH MAY BE ENFORCED BY THE PARTIES.</t>
    </r>
  </si>
  <si>
    <t>materials and labor for this site.</t>
  </si>
  <si>
    <t>By my signature (type in your name for electronic signature) below, I hereby certify that this form includes the entire energy efficiency project scope and estimated total project cost including</t>
  </si>
  <si>
    <t>Completion Date on File</t>
  </si>
  <si>
    <t>Please review the Offer Form below. If you have any questions, please contact us.</t>
  </si>
  <si>
    <t>Once your application has been emailed you can expect to see a confirmation email within five business days. If you applied for a custom incentive you will receive an offer or request for additional information.</t>
  </si>
  <si>
    <t>I am the owner, or an authorized representative associated with the Ameren Missouri account number(s) on this application.</t>
  </si>
  <si>
    <t>VFD on Condenser Water Pump &gt;=1 HP</t>
  </si>
  <si>
    <t>Is this date still accurate? If not, please provide an updated completion date and return to BizSavers@ameren.com</t>
  </si>
  <si>
    <t>Enter estimated completion date</t>
  </si>
  <si>
    <t>or contact an Ameren Missouri BizSavers representative at 1-866-941-7299</t>
  </si>
  <si>
    <t>Added Lighting and HVAC bonus incentive functionality
Changed incentive rates and EER/ IEER baselines for standard HVAC equipment measures- assigned new measure numbers to affected measures
Changed baseline range for VFD measures; added VFD measures for cooling towers and condenser pumps
Added standard occupancy sensor measures
Corrected calculation with Custom Lighting
Added measure for kitchen demand control ventilation to cooking equipment tab
Added tab for HVLS ceiling fan measures to the standard tab
Increased Fast Track Max. to $15,000
Changed Custom payback minimum to 1 year
Allowed display of Miscellaneos-Other measures after ENd Use and EUL entered by Engineering
Updated Terms and Conditions page
Updated Offer page to reflect new guidelines
Corrected HVAC Fan VFD incentive to $85
BD personnel changes</t>
  </si>
  <si>
    <r>
      <t xml:space="preserve">The full Terms and Conditions may be viewed </t>
    </r>
    <r>
      <rPr>
        <b/>
        <u/>
        <sz val="12"/>
        <color theme="4" tint="-0.249977111117893"/>
        <rFont val="Arial"/>
        <family val="2"/>
      </rPr>
      <t>HERE.</t>
    </r>
  </si>
  <si>
    <t>The Customer Information Release and Terms Acknowledgement below has been extracted from the full Terms and Conditions.</t>
  </si>
  <si>
    <t>6.5.1</t>
  </si>
  <si>
    <t>Revamped Terms and Conditions page
Corrected error with bonus applied to Redesign measures</t>
  </si>
  <si>
    <t>6.5.2</t>
  </si>
  <si>
    <t>Corrected application of HCIF for standard occupancy sensor measures
Allowed application of bonus to custom dimming/ daylighting measures
Corrected issue with capping custom lighting bonus at cost</t>
  </si>
  <si>
    <t>Trade Ally Information</t>
  </si>
  <si>
    <r>
      <t>Trade Ally Company</t>
    </r>
    <r>
      <rPr>
        <sz val="11"/>
        <color rgb="FFFF0000"/>
        <rFont val="Arial"/>
        <family val="2"/>
      </rPr>
      <t>*</t>
    </r>
  </si>
  <si>
    <t>Site Details</t>
  </si>
  <si>
    <t>Terms &amp; Conditions</t>
  </si>
  <si>
    <t>MAIN8</t>
  </si>
  <si>
    <t>MAIN9</t>
  </si>
  <si>
    <t>MAIN2A</t>
  </si>
  <si>
    <t>MAIN3A</t>
  </si>
  <si>
    <t>MAIN4A</t>
  </si>
  <si>
    <t>MAIN5A</t>
  </si>
  <si>
    <t>MAIN6A</t>
  </si>
  <si>
    <t>MAIN7A</t>
  </si>
  <si>
    <t>M1S9</t>
  </si>
  <si>
    <t>FILLED BY TA</t>
  </si>
  <si>
    <t>FILLED BY CUSTOMER</t>
  </si>
  <si>
    <t>Trade Ally &amp; Install Site</t>
  </si>
  <si>
    <t>M1S6</t>
  </si>
  <si>
    <t>Enter the Payee Information below. Some information may be autofilled based on your selection, but you may overwrite the data if necessary.</t>
  </si>
  <si>
    <r>
      <t xml:space="preserve">Fields with a </t>
    </r>
    <r>
      <rPr>
        <i/>
        <sz val="11"/>
        <color rgb="FFFF0000"/>
        <rFont val="Arial"/>
        <family val="2"/>
      </rPr>
      <t xml:space="preserve">red </t>
    </r>
    <r>
      <rPr>
        <i/>
        <sz val="11"/>
        <rFont val="Arial"/>
        <family val="2"/>
      </rPr>
      <t>asterisk (</t>
    </r>
    <r>
      <rPr>
        <i/>
        <sz val="11"/>
        <color rgb="FFFF0000"/>
        <rFont val="Arial"/>
        <family val="2"/>
      </rPr>
      <t>*</t>
    </r>
    <r>
      <rPr>
        <i/>
        <sz val="11"/>
        <rFont val="Arial"/>
        <family val="2"/>
      </rPr>
      <t>) are required</t>
    </r>
  </si>
  <si>
    <t>Please include the contact information of the individidual who authorized the decision to move forward with the energy efficiency project. This individual may be contacted to answer a brief survey regarding their and their facility's participation in the program.</t>
  </si>
  <si>
    <t>AmerenMissouri.com/BizSavers</t>
  </si>
  <si>
    <t>1.866.941.7299</t>
  </si>
  <si>
    <t>Expires</t>
  </si>
  <si>
    <t>Package or Split System &lt;5.4 tons</t>
  </si>
  <si>
    <t>Package or Split System 5.4&lt;11.25 tons</t>
  </si>
  <si>
    <t>Package or Split System 11.25&lt;20 tons</t>
  </si>
  <si>
    <t>Package or Split System 20&lt;63.3 tons</t>
  </si>
  <si>
    <t>Package or Split System &gt;=63.3 tons</t>
  </si>
  <si>
    <t>Air-Source Heat Pump &lt;5.4 tons</t>
  </si>
  <si>
    <t>Air-Source Heat Pump  5.4&lt;11.25 tons</t>
  </si>
  <si>
    <t>Air-Source Heat Pump 11.25&lt;20 tons</t>
  </si>
  <si>
    <t>Air-Source Heat Pump &gt;=20 tons</t>
  </si>
  <si>
    <t>Air-Cooled Chiller &lt;150 tons</t>
  </si>
  <si>
    <t>Air-Cooled Chiller &gt;=150 tons</t>
  </si>
  <si>
    <t>Ready to Submit</t>
  </si>
  <si>
    <t>$15,000 Cap Reached. Ready to Submit</t>
  </si>
  <si>
    <t>Trade Ally Address</t>
  </si>
  <si>
    <t>Trade Ally City</t>
  </si>
  <si>
    <t>1.0.0</t>
  </si>
  <si>
    <t>Created HVAC One-Sheet</t>
  </si>
  <si>
    <t>YES, I am applying for a Fast-Track incentive that will be capped at $15,000</t>
  </si>
  <si>
    <t>M02S02F44</t>
  </si>
  <si>
    <t>PROJSTATMEASURE</t>
  </si>
  <si>
    <t>PROJSTATSTANDARD</t>
  </si>
  <si>
    <t>PROJSTATPREAPPROVE</t>
  </si>
  <si>
    <t>PROJSTATREVIEW</t>
  </si>
  <si>
    <t>PROJSTATEXP</t>
  </si>
  <si>
    <t>PROJSTATELI</t>
  </si>
  <si>
    <t>PROJSTATUNDER</t>
  </si>
  <si>
    <t>PROJSTATRES</t>
  </si>
  <si>
    <t>PROJSTATBOUGHT</t>
  </si>
  <si>
    <t>M02S02F43</t>
  </si>
  <si>
    <t>Estimated date of installation</t>
  </si>
  <si>
    <t>=IF(EXPIRATION&lt;&gt;"",PROJSTATEXP,IF(OR(PROGRESSSTATUS&lt;1,J31=0),PROJSTATMEASURE,IF(INCENTOTAL&lt;150,PROJSTATUNDER,IF(AND(PROGRESSSTATUS=1,SUM(J30)&gt;0,SUM(J30)&lt;15000),PROJSTATSTANDARD,IF(AND(PROGRESSSTATUS=1,SUM(J30)&gt;15000,ISNUMBER(SEARCH("NO,",M02S02F44))),PROJSTATBOUGHT,PROJSTATPREAPPROVE)))))</t>
  </si>
  <si>
    <t>Complete Application</t>
  </si>
  <si>
    <t>PROJFILLOUT</t>
  </si>
  <si>
    <t>Site Name</t>
  </si>
  <si>
    <t>Incentive Offer for</t>
  </si>
  <si>
    <t>Energy Savings</t>
  </si>
  <si>
    <t>NO, I am requesting pre-approval prior to installing equipment and may earn an incentive greater than $15,000</t>
  </si>
  <si>
    <t>3.</t>
  </si>
  <si>
    <t>1.</t>
  </si>
  <si>
    <t>2.</t>
  </si>
  <si>
    <t>4.</t>
  </si>
  <si>
    <t>5.</t>
  </si>
  <si>
    <t>6.</t>
  </si>
  <si>
    <t>Submission and Next Steps</t>
  </si>
  <si>
    <r>
      <t>Verify the above Measures Summary is accurate. Has your energy efficiency project scope changed from the original plan? If so, please navigate back to the measure input section</t>
    </r>
    <r>
      <rPr>
        <sz val="11"/>
        <color theme="1"/>
        <rFont val="Arial"/>
        <family val="2"/>
      </rPr>
      <t xml:space="preserve"> to review and update the measures, quantities, and costs associated with each line item.</t>
    </r>
  </si>
  <si>
    <r>
      <t>Is the following payment information correct? If not, change your selection in the</t>
    </r>
    <r>
      <rPr>
        <sz val="11"/>
        <color rgb="FF0000FF"/>
        <rFont val="Arial"/>
        <family val="2"/>
      </rPr>
      <t xml:space="preserve"> Payee</t>
    </r>
    <r>
      <rPr>
        <sz val="11"/>
        <color theme="1"/>
        <rFont val="Arial"/>
        <family val="2"/>
      </rPr>
      <t xml:space="preserve"> section.</t>
    </r>
  </si>
  <si>
    <t>Please review the Completion Form for accuracy.</t>
  </si>
  <si>
    <t>Completed and Signed Completion Form</t>
  </si>
  <si>
    <t>Present Check?</t>
  </si>
  <si>
    <t>$17,250 Cap Reached. Ready to Submit</t>
  </si>
  <si>
    <t>PROJBONUSCAP</t>
  </si>
  <si>
    <t>1.0.1</t>
  </si>
  <si>
    <t>Corrected some bugs impacting csv upload</t>
  </si>
  <si>
    <r>
      <t>Is there a Trade Ally for this Project?</t>
    </r>
    <r>
      <rPr>
        <sz val="11"/>
        <color rgb="FFFF0000"/>
        <rFont val="Arial"/>
        <family val="2"/>
      </rPr>
      <t>*</t>
    </r>
  </si>
  <si>
    <t>M02S03F01</t>
  </si>
  <si>
    <t>1.1.0</t>
  </si>
  <si>
    <t>If "No", enter the Company Name</t>
  </si>
  <si>
    <r>
      <t>Is the Site where upgrades are being installed the headquarters, parent company, or primary office of the organization?</t>
    </r>
    <r>
      <rPr>
        <sz val="11"/>
        <color rgb="FFFF0000"/>
        <rFont val="Arial"/>
        <family val="2"/>
      </rPr>
      <t>*</t>
    </r>
  </si>
  <si>
    <t>M02S02F15</t>
  </si>
  <si>
    <t>M02S02F01</t>
  </si>
  <si>
    <t>Parent Company</t>
  </si>
  <si>
    <t>Removed requirement for TA
Added additional lines for measure input
Added place for Company Name if not the same as Site Name</t>
  </si>
  <si>
    <t>Total Measure Incentive</t>
  </si>
  <si>
    <t>1.1.1</t>
  </si>
  <si>
    <t>Corrected an issue with the incentive input section headers being overwritten when the bonus is toggled</t>
  </si>
  <si>
    <t>1.1.2</t>
  </si>
  <si>
    <t>Corrected rounding error in incentive calculation where the final incentive rounded to the nearest dollar</t>
  </si>
  <si>
    <t>1.2.0</t>
  </si>
  <si>
    <t>Changed expiration date</t>
  </si>
  <si>
    <t>1.3.0</t>
  </si>
  <si>
    <r>
      <t>How Did You Hear About the Program?</t>
    </r>
    <r>
      <rPr>
        <sz val="11"/>
        <color rgb="FFFF0000"/>
        <rFont val="Arial"/>
        <family val="2"/>
      </rPr>
      <t>*</t>
    </r>
  </si>
  <si>
    <t>Event</t>
  </si>
  <si>
    <t>Online Advertisement</t>
  </si>
  <si>
    <t>Ameren / BizSavers Program Representative</t>
  </si>
  <si>
    <t>Online Search Engine</t>
  </si>
  <si>
    <t>Program Brochure</t>
  </si>
  <si>
    <t>Video</t>
  </si>
  <si>
    <t>Mailer / Postcard</t>
  </si>
  <si>
    <t>Marketing</t>
  </si>
  <si>
    <t>Ameren Website</t>
  </si>
  <si>
    <t>Contractor, Vendor, or Trade Ally</t>
  </si>
  <si>
    <t>Program Email</t>
  </si>
  <si>
    <t>Ameren Facebook / LinkedIn Post</t>
  </si>
  <si>
    <t>Print Advertisement</t>
  </si>
  <si>
    <t>HearAbout</t>
  </si>
  <si>
    <t>HearAboutOther</t>
  </si>
  <si>
    <t>M02S01F04</t>
  </si>
  <si>
    <t>M02S01F05</t>
  </si>
  <si>
    <t>Other Detail</t>
  </si>
  <si>
    <t>I'm a Past Program Participant</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</si>
  <si>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</si>
  <si>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</si>
  <si>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</si>
  <si>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</si>
  <si>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</si>
  <si>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</si>
  <si>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</si>
  <si>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</si>
  <si>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</si>
  <si>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</si>
  <si>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</si>
  <si>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</si>
  <si>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</si>
  <si>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</si>
  <si>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</si>
  <si>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</si>
  <si>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</si>
  <si>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</si>
  <si>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</si>
  <si>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</si>
  <si>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</si>
  <si>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</si>
  <si>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Saskatechewan</t>
  </si>
  <si>
    <t>SK</t>
  </si>
  <si>
    <t>Yukon</t>
  </si>
  <si>
    <t>YT</t>
  </si>
  <si>
    <r>
      <t>State/ Province</t>
    </r>
    <r>
      <rPr>
        <sz val="11"/>
        <color rgb="FFFF0000"/>
        <rFont val="Arial"/>
        <family val="2"/>
      </rPr>
      <t>*</t>
    </r>
  </si>
  <si>
    <r>
      <t>Zip/ Postal Code</t>
    </r>
    <r>
      <rPr>
        <sz val="11"/>
        <color rgb="FFFF0000"/>
        <rFont val="Arial"/>
        <family val="2"/>
      </rPr>
      <t>*</t>
    </r>
  </si>
  <si>
    <t>Trade Ally State/ Province</t>
  </si>
  <si>
    <t>Trade Ally Zip/ Postal Code</t>
  </si>
  <si>
    <t>District of Columbia</t>
  </si>
  <si>
    <t>DC</t>
  </si>
  <si>
    <t>ID #/ Cust. Subm.</t>
  </si>
  <si>
    <t>CustomerSubmittedApp</t>
  </si>
  <si>
    <t>Changed expiration
Added measures for VFDs on HVAC equipment
Added Hear About Fields
Have text for payment T&amp;C always display
Corrected display of version number on non-entry pages
Allowed entry of Canadian provinces and postal codes for certain addresses
Added indicator that application was submitted by customer on PC Summary and CSV</t>
  </si>
  <si>
    <t>Labor</t>
  </si>
  <si>
    <t>Qty</t>
  </si>
  <si>
    <t>Category</t>
  </si>
  <si>
    <t>Detail</t>
  </si>
  <si>
    <t>Old Equipment</t>
  </si>
  <si>
    <t>Description</t>
  </si>
  <si>
    <t>Annual Hours</t>
  </si>
  <si>
    <t>New Equipment</t>
  </si>
  <si>
    <t>Type</t>
  </si>
  <si>
    <t>Linear T12</t>
  </si>
  <si>
    <t>Linear T8</t>
  </si>
  <si>
    <t>Linear T5</t>
  </si>
  <si>
    <t>Pulse Start - 1000 W</t>
  </si>
  <si>
    <t>MR-16 &gt; 35 W</t>
  </si>
  <si>
    <t>BR/R &gt; 45W</t>
  </si>
  <si>
    <t>PAR &gt; 48W</t>
  </si>
  <si>
    <t>A-Lamp &gt; 28W</t>
  </si>
  <si>
    <t>LED Lamp - Existing Ballast</t>
  </si>
  <si>
    <t>LED Lamp - Direct Wire</t>
  </si>
  <si>
    <t>New LED Fixture</t>
  </si>
  <si>
    <t>New LED Fixture - Network Controls</t>
  </si>
  <si>
    <t>A-Lamp</t>
  </si>
  <si>
    <t>PAR/BR/R Lamp</t>
  </si>
  <si>
    <t>MR-16 Lamp</t>
  </si>
  <si>
    <t>Integrated Downlight</t>
  </si>
  <si>
    <t>Kit - Network Controls</t>
  </si>
  <si>
    <t>Fixture - Network Controls</t>
  </si>
  <si>
    <t>LED Exit Sign</t>
  </si>
  <si>
    <t>Estimated kWh Savings</t>
  </si>
  <si>
    <t>Lamps / Fixture</t>
  </si>
  <si>
    <t>Existing Watts</t>
  </si>
  <si>
    <t>Efficient Watts</t>
  </si>
  <si>
    <t>Incentive Rate</t>
  </si>
  <si>
    <t>Linear T12-Plug and Play (Type A)</t>
  </si>
  <si>
    <t>Linear T8-Plug and Play (Type A)</t>
  </si>
  <si>
    <t>Linear T5-Plug and Play (Type A)</t>
  </si>
  <si>
    <t>Linear T5HO-Plug and Play (Type A)</t>
  </si>
  <si>
    <t>Linear T12-Type A/B Hybrid</t>
  </si>
  <si>
    <t>Linear T8-Type A/B Hybrid</t>
  </si>
  <si>
    <t>Linear T5-Type A/B Hybrid</t>
  </si>
  <si>
    <t>Linear T5HO-Type A/B Hybrid</t>
  </si>
  <si>
    <t>Linear T12-Direct Wire (Type B)</t>
  </si>
  <si>
    <t>Linear T8-Direct Wire (Type B)</t>
  </si>
  <si>
    <t>Linear T5-Direct Wire (Type B)</t>
  </si>
  <si>
    <t>Linear T5HO-Direct Wire (Type B)</t>
  </si>
  <si>
    <t>Linear T12-External Driver (Type C)</t>
  </si>
  <si>
    <t>Linear T8-External Driver (Type C)</t>
  </si>
  <si>
    <t>Linear T5-External Driver (Type C)</t>
  </si>
  <si>
    <t>Linear T5HO-External Driver (Type C)</t>
  </si>
  <si>
    <t>Linear T12-Retrofit Kit</t>
  </si>
  <si>
    <t>Linear T8-Retrofit Kit</t>
  </si>
  <si>
    <t>Linear T5-Retrofit Kit</t>
  </si>
  <si>
    <t>Linear T5HO-Retrofit Kit</t>
  </si>
  <si>
    <t>Linear T12-Fixture</t>
  </si>
  <si>
    <t>Linear T8-Fixture</t>
  </si>
  <si>
    <t>Linear T5-Fixture</t>
  </si>
  <si>
    <t>Linear T5HO-Fixture</t>
  </si>
  <si>
    <t>Linear T12-Kit - Network Controls</t>
  </si>
  <si>
    <t>Linear T8-Kit - Network Controls</t>
  </si>
  <si>
    <t>Linear T5-Kit - Network Controls</t>
  </si>
  <si>
    <t>Linear T5HO-Kit - Network Controls</t>
  </si>
  <si>
    <t>Linear T12-Fixture - Network Controls</t>
  </si>
  <si>
    <t>Linear T8-Fixture - Network Controls</t>
  </si>
  <si>
    <t>Linear T5-Fixture - Network Controls</t>
  </si>
  <si>
    <t>Linear T5HO-Fixture - Network Controls</t>
  </si>
  <si>
    <t>Metal Halide-LED Lamp - Direct Wire</t>
  </si>
  <si>
    <t>Metal Halide-New LED Fixture</t>
  </si>
  <si>
    <t>Metal Halide-New LED Fixture - Network Controls</t>
  </si>
  <si>
    <t>Mercury Vapor-LED Lamp - Direct Wire</t>
  </si>
  <si>
    <t>Mercury Vapor-New LED Fixture</t>
  </si>
  <si>
    <t>Mercury Vapor-New LED Fixture - Network Controls</t>
  </si>
  <si>
    <t>Fixture Wattage</t>
  </si>
  <si>
    <t>Summary</t>
  </si>
  <si>
    <t>Linear Incentivized</t>
  </si>
  <si>
    <t>Per Fixture Costs</t>
  </si>
  <si>
    <t>Exit Sign-Incandescent</t>
  </si>
  <si>
    <t>Fixture, HID, Incand.</t>
  </si>
  <si>
    <t>Linear Type Lamps</t>
  </si>
  <si>
    <t>Calc. Incentive</t>
  </si>
  <si>
    <t>Over 5 years, you could save</t>
  </si>
  <si>
    <t>in energy costs</t>
  </si>
  <si>
    <t>metric tons of CO2</t>
  </si>
  <si>
    <t>Existing kWh</t>
  </si>
  <si>
    <t>Efficient kWh</t>
  </si>
  <si>
    <t>Lighting One-Page</t>
  </si>
  <si>
    <t>Halogen-PAR &gt; 48W</t>
  </si>
  <si>
    <t>A-Lamp &gt; 40W</t>
  </si>
  <si>
    <t>Incandescent-A-Lamp &gt; 40W</t>
  </si>
  <si>
    <t>Halogen-A-Lamp &gt; 28W</t>
  </si>
  <si>
    <t>Halogen-MR-16 &gt; 35W</t>
  </si>
  <si>
    <t>MR-16 &gt; 35W</t>
  </si>
  <si>
    <t>Halogen-BR/R &gt; 45W</t>
  </si>
  <si>
    <t>Lamp Life</t>
  </si>
  <si>
    <t>Metal Halide - 50W</t>
  </si>
  <si>
    <t>Metal Halide - 70W</t>
  </si>
  <si>
    <t>Metal Halide - 100W</t>
  </si>
  <si>
    <t>Metal Halide - 150W</t>
  </si>
  <si>
    <t>Metal Halide - 175W</t>
  </si>
  <si>
    <t>Metal Halide - 250W</t>
  </si>
  <si>
    <t>Metal Halide - 400W</t>
  </si>
  <si>
    <t>Metal Halide - 1000W</t>
  </si>
  <si>
    <t>Metal Halide - 1500W</t>
  </si>
  <si>
    <t>Metal Halide - 2000W</t>
  </si>
  <si>
    <t>Pulse Start - 70W</t>
  </si>
  <si>
    <t>Pulse Start - 100W</t>
  </si>
  <si>
    <t>Pulse Start - 150W</t>
  </si>
  <si>
    <t>Pulse Start - 175W</t>
  </si>
  <si>
    <t>Pulse Start - 200W</t>
  </si>
  <si>
    <t>Pulse Start - 250W</t>
  </si>
  <si>
    <t>Pulse Start - 320W</t>
  </si>
  <si>
    <t>Pulse Start - 350W</t>
  </si>
  <si>
    <t>Pulse Start - 400W</t>
  </si>
  <si>
    <t>Pulse Start - 1000W</t>
  </si>
  <si>
    <t>Mercury Vapor - 40W</t>
  </si>
  <si>
    <t>Mercury Vapor - 50W</t>
  </si>
  <si>
    <t>Mercury Vapor - 75W</t>
  </si>
  <si>
    <t>Mercury Vapor - 100W</t>
  </si>
  <si>
    <t>Mercury Vapor - 175W</t>
  </si>
  <si>
    <t>Mercury Vapor - 250W</t>
  </si>
  <si>
    <t>Mercury Vapor - 400W</t>
  </si>
  <si>
    <t>Mercury Vapor - 1000W</t>
  </si>
  <si>
    <t>High Pressure Sodium - 35W</t>
  </si>
  <si>
    <t>High Pressure Sodium - 50W</t>
  </si>
  <si>
    <t>High Pressure Sodium - 70W</t>
  </si>
  <si>
    <t>High Pressure Sodium - 100W</t>
  </si>
  <si>
    <t>High Pressure Sodium - 150W</t>
  </si>
  <si>
    <t>High Pressure Sodium - 200W</t>
  </si>
  <si>
    <t>High Pressure Sodium - 250W</t>
  </si>
  <si>
    <t>High Pressure Sodium - 400W</t>
  </si>
  <si>
    <t>High Pressure Sodium - 1000W</t>
  </si>
  <si>
    <t>Metal Halide - 32W</t>
  </si>
  <si>
    <t>Metal Halide - 35W</t>
  </si>
  <si>
    <t>Metal Halide - 39W</t>
  </si>
  <si>
    <t>Metal Halide - 1650W</t>
  </si>
  <si>
    <t>Pulse Start - 50W</t>
  </si>
  <si>
    <t>Pulse Start - 450W</t>
  </si>
  <si>
    <t>Pulse Start - 750W</t>
  </si>
  <si>
    <t>High Pressure Sodium - 310W</t>
  </si>
  <si>
    <t>High Pressure Sodium - 600W</t>
  </si>
  <si>
    <t>High Pressure Sodium - 750W</t>
  </si>
  <si>
    <t>HP Sodium</t>
  </si>
  <si>
    <t>HP Sodium-LED Lamp - Existing Ballast</t>
  </si>
  <si>
    <t>HP Sodium-LED Lamp - Direct Wire</t>
  </si>
  <si>
    <t>HP Sodium-New LED Fixture</t>
  </si>
  <si>
    <t>HP Sodium-New LED Fixture - Network Controls</t>
  </si>
  <si>
    <t>Metal Halide-LED Lamp - Existing Ballast</t>
  </si>
  <si>
    <t>Mercury Vapor-LED Lamp - Existing Ballast</t>
  </si>
  <si>
    <t>Tax Information</t>
  </si>
  <si>
    <t>Please enter the business name and address exactly as it appears on your form W-9</t>
  </si>
  <si>
    <r>
      <t>Legal Company Name</t>
    </r>
    <r>
      <rPr>
        <sz val="11"/>
        <color rgb="FFFF0000"/>
        <rFont val="Arial"/>
        <family val="2"/>
      </rPr>
      <t>*</t>
    </r>
  </si>
  <si>
    <t>M02S04F13</t>
  </si>
  <si>
    <t>M02S04F14</t>
  </si>
  <si>
    <t>M02S04F15</t>
  </si>
  <si>
    <t>M02S04F16</t>
  </si>
  <si>
    <t>M02S04F17</t>
  </si>
  <si>
    <t>TaxLegalName</t>
  </si>
  <si>
    <t>TaxAddress</t>
  </si>
  <si>
    <t>TaxCity</t>
  </si>
  <si>
    <t>TaxState</t>
  </si>
  <si>
    <t>TaxZip</t>
  </si>
  <si>
    <t>TechContactOptOut</t>
  </si>
  <si>
    <t>SurveyContactOptOut</t>
  </si>
  <si>
    <t>Please feel free to contact us with any questions about this project or any other project.</t>
  </si>
  <si>
    <r>
      <t xml:space="preserve">This application is intended for standard fixture incentives and only one-for-one replacements will be incentivized. If you have occupancy sensors, lighting controls, CFLs, or a lighting redesign, you may be able to earn an incentive using our full </t>
    </r>
    <r>
      <rPr>
        <b/>
        <i/>
        <u/>
        <sz val="11"/>
        <color theme="4" tint="-0.249977111117893"/>
        <rFont val="Arial"/>
        <family val="2"/>
      </rPr>
      <t>Standard/ Custom Application</t>
    </r>
    <r>
      <rPr>
        <b/>
        <i/>
        <sz val="11"/>
        <rFont val="Arial"/>
        <family val="2"/>
      </rPr>
      <t>.</t>
    </r>
  </si>
  <si>
    <t>Created Lighting One-Sheet</t>
  </si>
  <si>
    <t xml:space="preserve">Once your application has been emailed you can expect to see a confirmation email within five business days. </t>
  </si>
  <si>
    <t>LIGHTING2021</t>
  </si>
  <si>
    <t>LIGHTRATE21</t>
  </si>
  <si>
    <t>Morgan</t>
  </si>
  <si>
    <t>Christopher Harris</t>
  </si>
  <si>
    <t>Morgan Downes</t>
  </si>
  <si>
    <t>Updated Lighting Rates
BD, IS and Engineering changes to dropdowns</t>
  </si>
  <si>
    <t>Expiration Date update
Updates to personnel lists</t>
  </si>
  <si>
    <t>Matt Farwig</t>
  </si>
  <si>
    <t>Joan Fedak</t>
  </si>
  <si>
    <t>Has the equipment been installed yet?*</t>
  </si>
  <si>
    <t>Updated Terms and Conditions at the URL
Locked in NO in "installed Yet?" field and hid the field in oder to permit only pre-approval Lighting measures. Added a note for estimated completion dates after 1/1/23
Added a note that PO Boxes are only permitted for incentive payments of less than $50,000
Added autofill of 8760 hours for Exit Sign Measures</t>
  </si>
  <si>
    <t>1.3.1</t>
  </si>
  <si>
    <t>Extended expiration date</t>
  </si>
  <si>
    <t>1.4.0</t>
  </si>
  <si>
    <t>Updated incentive rates to Sept 2022 value</t>
  </si>
  <si>
    <t>Sept 2022 Rates</t>
  </si>
  <si>
    <t>M06S05C01</t>
  </si>
  <si>
    <t>M06S05C02</t>
  </si>
  <si>
    <t>Check Presentation Affirmative</t>
  </si>
  <si>
    <t>Check Presentation Negative</t>
  </si>
  <si>
    <t>1.4.1</t>
  </si>
  <si>
    <t>Unlocked check presentation section
Updated terms on offer page with correct dates</t>
  </si>
  <si>
    <t>1.5.0</t>
  </si>
  <si>
    <t>Nicole</t>
  </si>
  <si>
    <t>Nicole Baumgarten</t>
  </si>
  <si>
    <t>a) If the Customer does not complete the installation of the measures and submit all the required completion paperwork within 12 months from the date the incentive offer was signed by the applicant, or by December 31st, 2022 (whichever is soonest), Ameren Missouri may cancel this Application without liability of any kind. c) A Customer who fails to advise Ameren Missouri that a project is complete, or who fails to provide required post-installation documentation as described elsewhere in the Terms and Conditions within 180 days of project installation or by December 31st, 2023 may be denied incentive payment.
Accepting this offer acknowledges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$3,000,000 annual cap per company for the program cycle extending from March 1, 2019 through December 31, 2023.</t>
  </si>
  <si>
    <t>Update incentive rates for 2023
Personnel changes in dropdowns
Updated linked Terms and in-application Terms with new 2023 dates</t>
  </si>
  <si>
    <t>1.5.1</t>
  </si>
  <si>
    <t>Update expiration date</t>
  </si>
  <si>
    <t>1.5.2</t>
  </si>
  <si>
    <t>Adjusted incandecent and halogen baseline adjustment facotrs to 0.24 and 0.34, respectively
Removed Incandescent Exit Signs</t>
  </si>
  <si>
    <t>1.6.0</t>
  </si>
  <si>
    <t>Updated rates for August 2023 incentive rate increases</t>
  </si>
  <si>
    <t>Exit Signs</t>
  </si>
  <si>
    <t>1.6.1</t>
  </si>
  <si>
    <t>Removed GSL lamp incentices from standard measures
Corrected display of check presentation preference in PC Summary</t>
  </si>
  <si>
    <t>Danielle Sitton</t>
  </si>
  <si>
    <t>Kathy Ball</t>
  </si>
  <si>
    <t>Lauren Curran</t>
  </si>
  <si>
    <t>Perry</t>
  </si>
  <si>
    <t>Rick</t>
  </si>
  <si>
    <t>Joan</t>
  </si>
  <si>
    <t>Chris</t>
  </si>
  <si>
    <t>Danielle</t>
  </si>
  <si>
    <t>T5 HO - 3 ft - 1 Lamp</t>
  </si>
  <si>
    <t>T5 HO - 3 ft - 2 Lamp</t>
  </si>
  <si>
    <t>T5 - 3 ft - 1 Lamp - 39W - HO</t>
  </si>
  <si>
    <t>T5 - 3 ft - 2 Lamp - 39W - HO</t>
  </si>
  <si>
    <r>
      <t xml:space="preserve">I have read, understand, and agree to the </t>
    </r>
    <r>
      <rPr>
        <u/>
        <sz val="11"/>
        <color theme="4" tint="-0.249977111117893"/>
        <rFont val="Arial"/>
        <family val="2"/>
      </rPr>
      <t>Ameren Missouri BizSavers Terms and Conditions</t>
    </r>
  </si>
  <si>
    <t>CFL/ Incandescent</t>
  </si>
  <si>
    <t>Exit Sign CFL/ Incandescent</t>
  </si>
  <si>
    <t>Exit Sign-CFL/ Incandescent</t>
  </si>
  <si>
    <t>HVAC Flier</t>
  </si>
  <si>
    <t>2.0.0</t>
  </si>
  <si>
    <t>Updated Terms and Conditions Summary in App.
Updated staff in dropdown lists 
Changed Linear Lighting incentive rates
Changed HID incentive rates
Added T5 HO 39W to list
Changed bounds for wattages of Exit Signs
Changed Summary Box Top Border Color
Combined Exit Signs into one CFL/ Incandescent measure
Added HVAC Flier as Hear About option</t>
  </si>
  <si>
    <t>Andrew Veile</t>
  </si>
  <si>
    <t>Zach</t>
  </si>
  <si>
    <t>2.1.0</t>
  </si>
  <si>
    <t>Updated expiration date</t>
  </si>
  <si>
    <t>2.2.0</t>
  </si>
  <si>
    <t>Incentive Capped</t>
  </si>
  <si>
    <t>Cumulative SBDI</t>
  </si>
  <si>
    <t>Incentive Balance</t>
  </si>
  <si>
    <t>Stand. Incentive</t>
  </si>
  <si>
    <t>SBDI Incentive</t>
  </si>
  <si>
    <t>Remainder Qty</t>
  </si>
  <si>
    <t>Remainder Inc</t>
  </si>
  <si>
    <t>Adjusted SBDI</t>
  </si>
  <si>
    <t>Adj Cum SBDI</t>
  </si>
  <si>
    <t>Total Adj SBDI</t>
  </si>
  <si>
    <t>Incentive</t>
  </si>
  <si>
    <t>SBDI Incentive Cap</t>
  </si>
  <si>
    <t>Inc Rate SBDI</t>
  </si>
  <si>
    <t>Final Std Incen</t>
  </si>
  <si>
    <t>Std/SBDI Incent</t>
  </si>
  <si>
    <t>AMEREN CUSTOMER RELEASE AND AGREEMENT</t>
  </si>
  <si>
    <t>I have read, understand and agree to the Terms and Conditions on the linked document. By my signature (type in your name for electronic signature) below, I hereby certify that this Small Business Direct Install project (the “Project”) performed under the Ameren Missouri BizSavers Program (the “Program”) was completed by an approved Ameren Missouri Service Provider and this application includes the entire scope and estimated cost of the Project (including, equipment, materials and labor). I authorize payment of my Program incentive for this Project to the Service Provider (“Payee”) named in the payment section and I understand that I will not receive a Program incentive payment directly from Ameren Missouri. I also understand that my release of the payment to the Payee does not exempt the Project from the incentive requirements outlined in this application. Details of the Program, including incentive levels and availability, are subject to change without notice.
I authorize Ameren Missouri to disclose Project assessment information with other approved Program contractors (“Trade Allies”) for the limited purposes of marketing other Program incentive opportunities to my business.   Except as provided in the previous sentence, all information gathered about the Project through the Program will be treated as confidential.</t>
  </si>
  <si>
    <t>Electronic Signature (Account or Site Owner)*</t>
  </si>
  <si>
    <t>Signatory Title*</t>
  </si>
  <si>
    <t>Date Signed*</t>
  </si>
  <si>
    <t>SBDI SERVICE PROVIDER AGREEMENT</t>
  </si>
  <si>
    <t xml:space="preserve">I have read, understand and agree to the Terms and Conditions listed on the linked document. By my signature (type in your name for electronic signature) below, I hereby certify that this application includes the entire efficiency project scope. I understand this application must be submitted by December 31, 2024, and I have reviewed all project cost, including equipment, materials and labor, for measures completed at this site. Details of this Program, including incentive levels and availability, and measure eligibility are subject to change. </t>
  </si>
  <si>
    <t>THIS CONTRACT CONTAINS A BINDING ARBITRATION PROVISION WHICH MAY BE ENFORCED BY THE PARTIES</t>
  </si>
  <si>
    <t>Electronic Signature (Trade Ally or Authorized Representative)*</t>
  </si>
  <si>
    <t>Lighting One-Page 2.3.0</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</si>
  <si>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</si>
  <si>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</si>
  <si>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2.3.0</t>
  </si>
  <si>
    <t>Updated expiration
Added functionality for toggling SBDI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</si>
</sst>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F800]dddd\,\ mmmm\ dd\,\ yyyy"/>
    <numFmt numFmtId="165" formatCode="00000"/>
    <numFmt numFmtId="166" formatCode="&quot;$&quot;#,##0.00"/>
    <numFmt numFmtId="167" formatCode="m/d/yy;@"/>
    <numFmt numFmtId="168" formatCode="0.000"/>
    <numFmt numFmtId="169" formatCode="#,###\ &quot;kWh&quot;"/>
    <numFmt numFmtId="170" formatCode="[&lt;=9999999]###\-####;\(###\)\ ###\-####"/>
    <numFmt numFmtId="171" formatCode="0.0000"/>
    <numFmt numFmtId="172" formatCode="#,##0.0000"/>
    <numFmt numFmtId="173" formatCode="0.0000000000"/>
    <numFmt numFmtId="174" formatCode="&quot;$&quot;#,##0.0000"/>
    <numFmt numFmtId="175" formatCode="0.0"/>
    <numFmt numFmtId="176" formatCode="m/d/yyyy;@"/>
    <numFmt numFmtId="177" formatCode="&quot;powering&quot;\ #,##0.0"/>
    <numFmt numFmtId="178" formatCode="0.00&quot; years&quot;"/>
    <numFmt numFmtId="179" formatCode="0.0%"/>
    <numFmt numFmtId="180" formatCode="&quot;$&quot;#,##0"/>
  </numFmts>
  <fonts count="14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u/>
      <sz val="11"/>
      <color theme="10"/>
      <name val="Calibri"/>
      <family val="2"/>
      <scheme val="minor"/>
    </font>
    <font>
      <sz val="11"/>
      <color theme="1"/>
      <name val="Calibri"/>
      <family val="2"/>
      <scheme val="minor"/>
    </font>
    <font>
      <b/>
      <sz val="10"/>
      <color theme="1"/>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sz val="10"/>
      <name val="Calibri Light"/>
      <family val="2"/>
    </font>
    <font>
      <b/>
      <sz val="11"/>
      <color theme="1"/>
      <name val="Calibri"/>
      <family val="2"/>
      <scheme val="minor"/>
    </font>
    <font>
      <sz val="11"/>
      <color theme="1"/>
      <name val="Calibri"/>
      <family val="2"/>
    </font>
    <font>
      <b/>
      <sz val="11"/>
      <color rgb="FFFF0000"/>
      <name val="Calibri"/>
      <family val="2"/>
      <scheme val="minor"/>
    </font>
    <font>
      <sz val="11"/>
      <name val="Calibri"/>
      <family val="2"/>
      <scheme val="minor"/>
    </font>
    <font>
      <b/>
      <sz val="10"/>
      <name val="Arial"/>
      <family val="2"/>
    </font>
    <font>
      <sz val="11"/>
      <color rgb="FFFF0000"/>
      <name val="Calibri"/>
      <family val="2"/>
      <scheme val="minor"/>
    </font>
    <font>
      <i/>
      <sz val="10"/>
      <color theme="1"/>
      <name val="Arial"/>
      <family val="2"/>
    </font>
    <font>
      <b/>
      <sz val="11"/>
      <name val="Arial"/>
      <family val="2"/>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sz val="13"/>
      <name val="Arial"/>
      <family val="2"/>
    </font>
    <font>
      <sz val="11"/>
      <color rgb="FFFF0000"/>
      <name val="Arial"/>
      <family val="2"/>
    </font>
    <font>
      <u/>
      <sz val="11"/>
      <color theme="10"/>
      <name val="Arial"/>
      <family val="2"/>
    </font>
    <font>
      <b/>
      <sz val="16"/>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u/>
      <sz val="11"/>
      <color theme="10"/>
      <name val="Arial"/>
      <family val="2"/>
    </font>
    <font>
      <sz val="11"/>
      <color rgb="FF1B6CB5"/>
      <name val="Arial"/>
      <family val="2"/>
    </font>
    <font>
      <b/>
      <sz val="11"/>
      <color theme="0"/>
      <name val="Segoe UI"/>
      <family val="2"/>
    </font>
    <font>
      <sz val="11"/>
      <color theme="4" tint="0.59999389629810485"/>
      <name val="Arial"/>
      <family val="2"/>
    </font>
    <font>
      <sz val="11"/>
      <color theme="1"/>
      <name val="Calibri"/>
      <family val="2"/>
      <scheme val="minor"/>
    </font>
    <font>
      <sz val="11"/>
      <color theme="1"/>
      <name val="Calibri"/>
      <family val="2"/>
      <scheme val="minor"/>
    </font>
    <font>
      <sz val="10"/>
      <color theme="0" tint="-0.34998626667073579"/>
      <name val="Calibri Light"/>
      <family val="2"/>
    </font>
    <font>
      <b/>
      <sz val="12"/>
      <color theme="1"/>
      <name val="Arial"/>
      <family val="2"/>
    </font>
    <font>
      <sz val="10"/>
      <name val="Arial"/>
      <family val="2"/>
    </font>
    <font>
      <sz val="16"/>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b/>
      <sz val="11"/>
      <color theme="1"/>
      <name val="Calibri"/>
      <family val="2"/>
      <scheme val="minor"/>
    </font>
    <font>
      <b/>
      <sz val="20"/>
      <color theme="1"/>
      <name val="Arial"/>
      <family val="2"/>
    </font>
    <font>
      <b/>
      <sz val="11"/>
      <color theme="0"/>
      <name val="Calibri"/>
      <family val="2"/>
      <scheme val="minor"/>
    </font>
    <font>
      <sz val="10"/>
      <color theme="0"/>
      <name val="Calibri Light"/>
      <family val="2"/>
    </font>
    <font>
      <b/>
      <sz val="10"/>
      <color theme="0" tint="-0.34998626667073579"/>
      <name val="Calibri Light"/>
      <family val="2"/>
    </font>
    <font>
      <sz val="12"/>
      <name val="Arial"/>
      <family val="2"/>
    </font>
    <font>
      <sz val="14"/>
      <name val="Arial"/>
      <family val="2"/>
    </font>
    <font>
      <sz val="14"/>
      <color theme="1"/>
      <name val="Wingdings 2"/>
      <family val="1"/>
      <charset val="2"/>
    </font>
    <font>
      <sz val="11"/>
      <color theme="1"/>
      <name val="Calibri"/>
      <family val="2"/>
      <scheme val="minor"/>
    </font>
    <font>
      <b/>
      <sz val="20"/>
      <color rgb="FF34B44A"/>
      <name val="Arial"/>
      <family val="2"/>
    </font>
    <font>
      <sz val="16"/>
      <name val="Arial"/>
      <family val="2"/>
    </font>
    <font>
      <vertAlign val="superscript"/>
      <sz val="14"/>
      <name val="Arial"/>
      <family val="2"/>
    </font>
    <font>
      <b/>
      <i/>
      <sz val="24"/>
      <color theme="0"/>
      <name val="Arial"/>
      <family val="2"/>
    </font>
    <font>
      <i/>
      <sz val="24"/>
      <color theme="0"/>
      <name val="Arial"/>
      <family val="2"/>
    </font>
    <font>
      <b/>
      <sz val="24"/>
      <color theme="0"/>
      <name val="Arial"/>
      <family val="2"/>
    </font>
    <font>
      <b/>
      <sz val="14"/>
      <color theme="0"/>
      <name val="Arial"/>
      <family val="2"/>
    </font>
    <font>
      <sz val="18"/>
      <name val="Arial"/>
      <family val="2"/>
    </font>
    <font>
      <sz val="13"/>
      <color theme="1"/>
      <name val="Arial"/>
      <family val="2"/>
    </font>
    <font>
      <b/>
      <vertAlign val="subscript"/>
      <sz val="18"/>
      <color theme="1"/>
      <name val="Arial"/>
      <family val="2"/>
    </font>
    <font>
      <sz val="11"/>
      <color theme="1"/>
      <name val="Wingdings 2"/>
      <family val="1"/>
      <charset val="2"/>
    </font>
    <font>
      <i/>
      <u/>
      <sz val="10"/>
      <color theme="1"/>
      <name val="Calibri Light"/>
      <family val="2"/>
    </font>
    <font>
      <sz val="10"/>
      <name val="Calibri Light"/>
      <family val="2"/>
    </font>
    <font>
      <b/>
      <sz val="10"/>
      <color theme="0"/>
      <name val="Calibri Light"/>
      <family val="2"/>
    </font>
    <font>
      <b/>
      <u/>
      <sz val="10"/>
      <name val="Calibri Light"/>
      <family val="2"/>
    </font>
    <font>
      <sz val="10"/>
      <color rgb="FFFF0000"/>
      <name val="Calibri Light"/>
      <family val="2"/>
    </font>
    <font>
      <b/>
      <sz val="20"/>
      <color theme="0"/>
      <name val="Arial"/>
      <family val="2"/>
    </font>
    <font>
      <i/>
      <u/>
      <sz val="11"/>
      <color theme="1"/>
      <name val="Calibri"/>
      <family val="2"/>
      <scheme val="minor"/>
    </font>
    <font>
      <b/>
      <sz val="12"/>
      <color theme="0"/>
      <name val="Arial"/>
      <family val="2"/>
    </font>
    <font>
      <b/>
      <sz val="24"/>
      <name val="Arial"/>
      <family val="2"/>
    </font>
    <font>
      <b/>
      <sz val="12"/>
      <name val="Arial"/>
      <family val="2"/>
    </font>
    <font>
      <b/>
      <sz val="20"/>
      <color theme="1"/>
      <name val="Calibri"/>
      <family val="2"/>
      <scheme val="minor"/>
    </font>
    <font>
      <b/>
      <sz val="10"/>
      <color rgb="FFFF0000"/>
      <name val="Calibri Light"/>
      <family val="2"/>
    </font>
    <font>
      <strike/>
      <sz val="10"/>
      <color rgb="FFFF0000"/>
      <name val="Calibri Light"/>
      <family val="2"/>
    </font>
    <font>
      <b/>
      <u/>
      <sz val="12"/>
      <color theme="4" tint="-0.249977111117893"/>
      <name val="Arial"/>
      <family val="2"/>
    </font>
    <font>
      <u/>
      <sz val="11"/>
      <color theme="4" tint="-0.249977111117893"/>
      <name val="Arial"/>
      <family val="2"/>
    </font>
    <font>
      <sz val="12"/>
      <color theme="1"/>
      <name val="Arial"/>
      <family val="2"/>
    </font>
    <font>
      <b/>
      <i/>
      <sz val="16"/>
      <name val="Arial"/>
      <family val="2"/>
    </font>
    <font>
      <i/>
      <sz val="11"/>
      <name val="Arial"/>
      <family val="2"/>
    </font>
    <font>
      <i/>
      <sz val="11"/>
      <color rgb="FFFF0000"/>
      <name val="Arial"/>
      <family val="2"/>
    </font>
    <font>
      <b/>
      <sz val="16"/>
      <color theme="0"/>
      <name val="Calibri"/>
      <family val="2"/>
      <scheme val="minor"/>
    </font>
    <font>
      <strike/>
      <sz val="8"/>
      <color theme="1"/>
      <name val="Century Gothic"/>
      <family val="2"/>
    </font>
    <font>
      <b/>
      <sz val="16"/>
      <color theme="0"/>
      <name val="Arial"/>
      <family val="2"/>
    </font>
    <font>
      <b/>
      <sz val="16"/>
      <color rgb="FF439639"/>
      <name val="Arial"/>
      <family val="2"/>
    </font>
    <font>
      <b/>
      <sz val="20"/>
      <color rgb="FF439639"/>
      <name val="Arial"/>
      <family val="2"/>
    </font>
    <font>
      <sz val="11"/>
      <color theme="0" tint="-0.34998626667073579"/>
      <name val="Calibri"/>
      <family val="2"/>
      <scheme val="minor"/>
    </font>
    <font>
      <sz val="11"/>
      <color theme="0" tint="-0.34998626667073579"/>
      <name val="Arial"/>
      <family val="2"/>
    </font>
    <font>
      <sz val="24"/>
      <name val="Arial"/>
      <family val="2"/>
    </font>
    <font>
      <b/>
      <sz val="10"/>
      <color theme="0"/>
      <name val="Arial"/>
      <family val="2"/>
    </font>
    <font>
      <b/>
      <sz val="18"/>
      <color theme="0"/>
      <name val="Arial"/>
      <family val="2"/>
    </font>
    <font>
      <b/>
      <sz val="14"/>
      <color rgb="FF439639"/>
      <name val="Arial"/>
      <family val="2"/>
    </font>
    <font>
      <sz val="11"/>
      <color theme="1"/>
      <name val="Calibri"/>
      <family val="2"/>
      <scheme val="minor"/>
    </font>
    <font>
      <sz val="8"/>
      <name val="Calibri"/>
      <family val="2"/>
      <scheme val="minor"/>
    </font>
    <font>
      <i/>
      <sz val="11"/>
      <color theme="1"/>
      <name val="Calibri"/>
      <family val="2"/>
      <scheme val="minor"/>
    </font>
    <font>
      <b/>
      <sz val="11"/>
      <color theme="1"/>
      <name val="Calibri"/>
      <family val="2"/>
      <scheme val="minor"/>
    </font>
    <font>
      <b/>
      <sz val="18"/>
      <color rgb="FF439639"/>
      <name val="Arial"/>
      <family val="2"/>
    </font>
    <font>
      <sz val="11"/>
      <color rgb="FF439639"/>
      <name val="Calibri"/>
      <family val="2"/>
      <scheme val="minor"/>
    </font>
    <font>
      <b/>
      <i/>
      <sz val="11"/>
      <color theme="1"/>
      <name val="Arial"/>
      <family val="2"/>
    </font>
    <font>
      <b/>
      <i/>
      <sz val="11"/>
      <name val="Arial"/>
      <family val="2"/>
    </font>
    <font>
      <b/>
      <i/>
      <u/>
      <sz val="11"/>
      <color theme="4" tint="-0.249977111117893"/>
      <name val="Arial"/>
      <family val="2"/>
    </font>
    <font>
      <b/>
      <sz val="12"/>
      <color rgb="FF439639"/>
      <name val="Calibri"/>
      <family val="2"/>
      <scheme val="minor"/>
    </font>
    <font>
      <b/>
      <sz val="12"/>
      <color rgb="FFC00000"/>
      <name val="Calibri"/>
      <family val="2"/>
      <scheme val="minor"/>
    </font>
    <font>
      <i/>
      <sz val="11"/>
      <color rgb="FF439639"/>
      <name val="Arial"/>
      <family val="2"/>
    </font>
    <font>
      <sz val="11"/>
      <color theme="1"/>
      <name val="Calibri"/>
      <family val="2"/>
      <scheme val="minor"/>
    </font>
    <font>
      <sz val="10"/>
      <name val="Calibri Light"/>
      <family val="2"/>
    </font>
    <font>
      <b/>
      <sz val="10"/>
      <color theme="0"/>
      <name val="Calibri Light"/>
      <family val="2"/>
    </font>
    <font>
      <strike/>
      <sz val="10"/>
      <name val="Calibri Light"/>
      <family val="2"/>
    </font>
    <font>
      <b/>
      <sz val="13"/>
      <name val="Arial"/>
      <family val="2"/>
    </font>
  </fonts>
  <fills count="37">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theme="7"/>
        <bgColor theme="7"/>
      </patternFill>
    </fill>
    <fill>
      <patternFill patternType="solid">
        <fgColor rgb="FFEE3224"/>
        <bgColor indexed="64"/>
      </patternFill>
    </fill>
    <fill>
      <patternFill patternType="solid">
        <fgColor rgb="FF72CDF4"/>
        <bgColor indexed="64"/>
      </patternFill>
    </fill>
    <fill>
      <patternFill patternType="solid">
        <fgColor theme="0" tint="-0.149967955565050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439639"/>
        <bgColor indexed="64"/>
      </patternFill>
    </fill>
    <fill>
      <patternFill patternType="solid">
        <fgColor rgb="FFFFFF00"/>
        <bgColor auto="1"/>
      </patternFill>
    </fill>
    <fill>
      <gradientFill degree="90">
        <stop position="0">
          <color rgb="FFEE3224"/>
        </stop>
        <stop position="1">
          <color rgb="FF1B6CB5"/>
        </stop>
      </gradientFill>
    </fill>
    <fill>
      <patternFill patternType="solid">
        <fgColor rgb="FF519FE5"/>
        <bgColor indexed="64"/>
      </patternFill>
    </fill>
    <fill>
      <patternFill patternType="solid">
        <fgColor theme="9"/>
        <bgColor theme="9"/>
      </patternFill>
    </fill>
    <fill>
      <gradientFill degree="90">
        <stop position="0">
          <color rgb="FF17375E"/>
        </stop>
        <stop position="1">
          <color rgb="FF72CDF4"/>
        </stop>
      </gradientFill>
    </fill>
    <fill>
      <patternFill patternType="solid">
        <fgColor rgb="FFC8EAC9"/>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indexed="64"/>
      </top>
      <bottom/>
      <diagonal/>
    </border>
    <border>
      <left/>
      <right/>
      <top/>
      <bottom style="thin">
        <color indexed="64"/>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rgb="FF17375E"/>
      </left>
      <right/>
      <top style="thin">
        <color rgb="FF17375E"/>
      </top>
      <bottom/>
      <diagonal/>
    </border>
    <border>
      <left/>
      <right/>
      <top style="thin">
        <color rgb="FF17375E"/>
      </top>
      <bottom/>
      <diagonal/>
    </border>
    <border>
      <left/>
      <right style="thin">
        <color rgb="FF17375E"/>
      </right>
      <top style="thin">
        <color rgb="FF17375E"/>
      </top>
      <bottom/>
      <diagonal/>
    </border>
    <border>
      <left style="thin">
        <color rgb="FF17375E"/>
      </left>
      <right/>
      <top/>
      <bottom style="thin">
        <color rgb="FF17375E"/>
      </bottom>
      <diagonal/>
    </border>
    <border>
      <left/>
      <right/>
      <top/>
      <bottom style="thin">
        <color rgb="FF17375E"/>
      </bottom>
      <diagonal/>
    </border>
    <border>
      <left/>
      <right style="thin">
        <color rgb="FF17375E"/>
      </right>
      <top/>
      <bottom style="thin">
        <color rgb="FF17375E"/>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4" tint="0.39997558519241921"/>
      </right>
      <top style="thin">
        <color theme="4" tint="0.39997558519241921"/>
      </top>
      <bottom style="thin">
        <color theme="4" tint="0.39997558519241921"/>
      </bottom>
      <diagonal/>
    </border>
    <border>
      <left/>
      <right/>
      <top style="medium">
        <color rgb="FF0D509D"/>
      </top>
      <bottom/>
      <diagonal/>
    </border>
    <border>
      <left/>
      <right/>
      <top/>
      <bottom style="thin">
        <color rgb="FFA7A6A7"/>
      </bottom>
      <diagonal/>
    </border>
    <border>
      <left/>
      <right/>
      <top style="thin">
        <color rgb="FFA7A6A7"/>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top style="thin">
        <color theme="4" tint="0.39997558519241921"/>
      </top>
      <bottom/>
      <diagonal/>
    </border>
    <border>
      <left/>
      <right/>
      <top style="thin">
        <color theme="9"/>
      </top>
      <bottom/>
      <diagonal/>
    </border>
    <border>
      <left/>
      <right/>
      <top style="thin">
        <color theme="9"/>
      </top>
      <bottom style="thin">
        <color theme="9"/>
      </bottom>
      <diagonal/>
    </border>
    <border>
      <left style="medium">
        <color rgb="FF439639"/>
      </left>
      <right/>
      <top/>
      <bottom/>
      <diagonal/>
    </border>
    <border>
      <left/>
      <right style="medium">
        <color rgb="FF439639"/>
      </right>
      <top/>
      <bottom/>
      <diagonal/>
    </border>
    <border>
      <left style="medium">
        <color rgb="FF439639"/>
      </left>
      <right/>
      <top/>
      <bottom style="medium">
        <color rgb="FF439639"/>
      </bottom>
      <diagonal/>
    </border>
    <border>
      <left/>
      <right/>
      <top/>
      <bottom style="medium">
        <color rgb="FF439639"/>
      </bottom>
      <diagonal/>
    </border>
    <border>
      <left/>
      <right style="medium">
        <color rgb="FF439639"/>
      </right>
      <top/>
      <bottom style="medium">
        <color rgb="FF439639"/>
      </bottom>
      <diagonal/>
    </border>
    <border>
      <left style="thin">
        <color rgb="FF439639"/>
      </left>
      <right/>
      <top style="thin">
        <color rgb="FF439639"/>
      </top>
      <bottom/>
      <diagonal/>
    </border>
    <border>
      <left/>
      <right/>
      <top style="thin">
        <color rgb="FF439639"/>
      </top>
      <bottom/>
      <diagonal/>
    </border>
    <border>
      <left/>
      <right style="thin">
        <color rgb="FF439639"/>
      </right>
      <top style="thin">
        <color rgb="FF439639"/>
      </top>
      <bottom/>
      <diagonal/>
    </border>
    <border>
      <left style="thin">
        <color rgb="FF439639"/>
      </left>
      <right/>
      <top/>
      <bottom/>
      <diagonal/>
    </border>
    <border>
      <left/>
      <right style="thin">
        <color rgb="FF439639"/>
      </right>
      <top/>
      <bottom/>
      <diagonal/>
    </border>
    <border>
      <left style="thin">
        <color rgb="FF439639"/>
      </left>
      <right/>
      <top/>
      <bottom style="thin">
        <color rgb="FF439639"/>
      </bottom>
      <diagonal/>
    </border>
    <border>
      <left/>
      <right/>
      <top/>
      <bottom style="thin">
        <color rgb="FF439639"/>
      </bottom>
      <diagonal/>
    </border>
    <border>
      <left/>
      <right style="thin">
        <color rgb="FF439639"/>
      </right>
      <top/>
      <bottom style="thin">
        <color rgb="FF43963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rgb="FF439639"/>
      </left>
      <right style="medium">
        <color rgb="FF439639"/>
      </right>
      <top style="medium">
        <color rgb="FF439639"/>
      </top>
      <bottom style="medium">
        <color rgb="FF439639"/>
      </bottom>
      <diagonal/>
    </border>
    <border>
      <left style="medium">
        <color rgb="FF439639"/>
      </left>
      <right/>
      <top style="medium">
        <color rgb="FF439639"/>
      </top>
      <bottom/>
      <diagonal/>
    </border>
    <border>
      <left/>
      <right/>
      <top style="medium">
        <color rgb="FF439639"/>
      </top>
      <bottom/>
      <diagonal/>
    </border>
    <border>
      <left/>
      <right style="medium">
        <color rgb="FF439639"/>
      </right>
      <top style="medium">
        <color rgb="FF439639"/>
      </top>
      <bottom/>
      <diagonal/>
    </border>
    <border>
      <left style="thin">
        <color theme="4" tint="0.39997558519241921"/>
      </left>
      <right style="thin">
        <color theme="4" tint="0.39997558519241921"/>
      </right>
      <top/>
      <bottom style="thin">
        <color theme="4" tint="0.39997558519241921"/>
      </bottom>
      <diagonal/>
    </border>
    <border>
      <left/>
      <right style="thin">
        <color rgb="FF439639"/>
      </right>
      <top/>
      <bottom style="medium">
        <color rgb="FF439639"/>
      </bottom>
      <diagonal/>
    </border>
    <border>
      <left style="thin">
        <color rgb="FF439639"/>
      </left>
      <right/>
      <top/>
      <bottom style="medium">
        <color rgb="FF439639"/>
      </bottom>
      <diagonal/>
    </border>
    <border>
      <left style="thin">
        <color theme="0" tint="-0.34998626667073579"/>
      </left>
      <right style="thin">
        <color theme="0" tint="-0.34998626667073579"/>
      </right>
      <top style="thin">
        <color theme="0" tint="-0.34998626667073579"/>
      </top>
      <bottom/>
      <diagonal/>
    </border>
    <border>
      <left style="medium">
        <color rgb="FF439639"/>
      </left>
      <right style="thin">
        <color rgb="FF439639"/>
      </right>
      <top/>
      <bottom/>
      <diagonal/>
    </border>
    <border>
      <left style="thin">
        <color rgb="FF439639"/>
      </left>
      <right/>
      <top style="thin">
        <color theme="0" tint="-0.34998626667073579"/>
      </top>
      <bottom/>
      <diagonal/>
    </border>
    <border>
      <left style="thin">
        <color rgb="FF439639"/>
      </left>
      <right/>
      <top/>
      <bottom style="thin">
        <color theme="0" tint="-0.34998626667073579"/>
      </bottom>
      <diagonal/>
    </border>
    <border>
      <left/>
      <right style="thin">
        <color rgb="FF439639"/>
      </right>
      <top style="thin">
        <color theme="0" tint="-0.34998626667073579"/>
      </top>
      <bottom/>
      <diagonal/>
    </border>
    <border>
      <left/>
      <right style="thin">
        <color rgb="FF439639"/>
      </right>
      <top/>
      <bottom style="thin">
        <color theme="0" tint="-0.34998626667073579"/>
      </bottom>
      <diagonal/>
    </border>
    <border>
      <left style="thin">
        <color rgb="FF439639"/>
      </left>
      <right/>
      <top style="medium">
        <color rgb="FF439639"/>
      </top>
      <bottom/>
      <diagonal/>
    </border>
    <border>
      <left/>
      <right style="thin">
        <color theme="0" tint="-0.34998626667073579"/>
      </right>
      <top style="medium">
        <color rgb="FF439639"/>
      </top>
      <bottom/>
      <diagonal/>
    </border>
    <border>
      <left style="thin">
        <color theme="0" tint="-0.34998626667073579"/>
      </left>
      <right/>
      <top style="medium">
        <color rgb="FF439639"/>
      </top>
      <bottom/>
      <diagonal/>
    </border>
    <border>
      <left/>
      <right style="thin">
        <color theme="0" tint="-0.34998626667073579"/>
      </right>
      <top/>
      <bottom style="thin">
        <color rgb="FF439639"/>
      </bottom>
      <diagonal/>
    </border>
    <border>
      <left style="thin">
        <color theme="0" tint="-0.34998626667073579"/>
      </left>
      <right/>
      <top/>
      <bottom style="thin">
        <color rgb="FF439639"/>
      </bottom>
      <diagonal/>
    </border>
    <border>
      <left/>
      <right/>
      <top style="thick">
        <color rgb="FF00B0F0"/>
      </top>
      <bottom/>
      <diagonal/>
    </border>
    <border>
      <left style="thin">
        <color theme="0" tint="-0.34998626667073579"/>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s>
  <cellStyleXfs count="9">
    <xf numFmtId="0" fontId="0" fillId="0" borderId="0"/>
    <xf numFmtId="0" fontId="13" fillId="0" borderId="0" applyNumberFormat="0" applyFill="0" applyBorder="0" applyAlignment="0" applyProtection="0"/>
    <xf numFmtId="0" fontId="14" fillId="0" borderId="0" applyNumberFormat="0" applyAlignment="0" applyProtection="0"/>
    <xf numFmtId="9" fontId="28" fillId="0" borderId="0" applyFont="0" applyFill="0" applyBorder="0" applyAlignment="0" applyProtection="0"/>
    <xf numFmtId="0" fontId="14" fillId="0" borderId="0" applyNumberFormat="0" applyAlignment="0" applyProtection="0"/>
    <xf numFmtId="0" fontId="32" fillId="0" borderId="0"/>
    <xf numFmtId="9" fontId="14" fillId="0" borderId="0" applyFont="0" applyFill="0" applyBorder="0" applyAlignment="0" applyProtection="0"/>
    <xf numFmtId="0" fontId="69" fillId="0" borderId="0"/>
    <xf numFmtId="0" fontId="14" fillId="0" borderId="0"/>
  </cellStyleXfs>
  <cellXfs count="941">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13" fillId="0" borderId="0" xfId="1"/>
    <xf numFmtId="0" fontId="0" fillId="0" borderId="0" xfId="0" applyAlignment="1">
      <alignment wrapText="1"/>
    </xf>
    <xf numFmtId="0" fontId="17" fillId="0" borderId="0" xfId="4" applyFont="1" applyAlignment="1" applyProtection="1"/>
    <xf numFmtId="0" fontId="17" fillId="0" borderId="0" xfId="4" applyFont="1" applyProtection="1"/>
    <xf numFmtId="0" fontId="19" fillId="0" borderId="0" xfId="4" applyFont="1" applyAlignment="1" applyProtection="1">
      <alignment horizontal="right"/>
    </xf>
    <xf numFmtId="0" fontId="33" fillId="0" borderId="0" xfId="5" applyFont="1" applyAlignment="1">
      <alignment wrapText="1"/>
    </xf>
    <xf numFmtId="0" fontId="32" fillId="0" borderId="0" xfId="5"/>
    <xf numFmtId="0" fontId="35" fillId="0" borderId="0" xfId="0" applyFont="1"/>
    <xf numFmtId="0" fontId="35" fillId="0" borderId="0" xfId="0" applyFont="1" applyAlignment="1">
      <alignment horizontal="center"/>
    </xf>
    <xf numFmtId="14" fontId="36" fillId="0" borderId="1" xfId="0" applyNumberFormat="1" applyFont="1" applyBorder="1" applyAlignment="1">
      <alignment horizontal="center"/>
    </xf>
    <xf numFmtId="0" fontId="36" fillId="0" borderId="1" xfId="0" applyFont="1" applyBorder="1" applyAlignment="1">
      <alignment horizontal="center" wrapText="1"/>
    </xf>
    <xf numFmtId="49" fontId="36" fillId="0" borderId="1" xfId="0" applyNumberFormat="1" applyFont="1" applyBorder="1" applyAlignment="1">
      <alignment horizontal="left" wrapText="1"/>
    </xf>
    <xf numFmtId="0" fontId="36" fillId="0" borderId="1" xfId="0" applyFont="1" applyBorder="1" applyAlignment="1">
      <alignment horizontal="left" vertical="center" wrapText="1"/>
    </xf>
    <xf numFmtId="0" fontId="0" fillId="2" borderId="4" xfId="0" applyFill="1" applyBorder="1" applyAlignment="1">
      <alignment wrapText="1"/>
    </xf>
    <xf numFmtId="0" fontId="38" fillId="0" borderId="16" xfId="5" applyFont="1" applyBorder="1"/>
    <xf numFmtId="0" fontId="38" fillId="0" borderId="14" xfId="5" applyFont="1" applyBorder="1"/>
    <xf numFmtId="10" fontId="0" fillId="0" borderId="0" xfId="6" applyNumberFormat="1" applyFont="1"/>
    <xf numFmtId="168" fontId="0" fillId="0" borderId="0" xfId="0" applyNumberFormat="1"/>
    <xf numFmtId="0" fontId="40" fillId="0" borderId="0" xfId="0" applyFont="1"/>
    <xf numFmtId="0" fontId="26" fillId="0" borderId="0" xfId="2" applyFont="1" applyAlignment="1" applyProtection="1">
      <alignment horizontal="left"/>
    </xf>
    <xf numFmtId="0" fontId="27" fillId="0" borderId="0" xfId="2" applyFont="1" applyProtection="1"/>
    <xf numFmtId="0" fontId="0" fillId="0" borderId="0" xfId="0" applyProtection="1">
      <protection locked="0"/>
    </xf>
    <xf numFmtId="0" fontId="0" fillId="0" borderId="1" xfId="0" applyBorder="1"/>
    <xf numFmtId="0" fontId="0" fillId="12" borderId="1" xfId="0" applyFill="1" applyBorder="1"/>
    <xf numFmtId="0" fontId="0" fillId="11" borderId="1" xfId="0" applyFill="1" applyBorder="1"/>
    <xf numFmtId="0" fontId="0" fillId="9" borderId="1" xfId="0" applyFill="1" applyBorder="1"/>
    <xf numFmtId="168" fontId="0" fillId="0" borderId="1" xfId="0" applyNumberFormat="1" applyBorder="1"/>
    <xf numFmtId="0" fontId="0" fillId="10" borderId="1" xfId="0" applyFill="1" applyBorder="1"/>
    <xf numFmtId="0" fontId="18" fillId="0" borderId="12" xfId="2" applyFont="1" applyBorder="1" applyAlignment="1" applyProtection="1">
      <alignment vertical="center" readingOrder="1"/>
    </xf>
    <xf numFmtId="0" fontId="18" fillId="0" borderId="0" xfId="2" applyFont="1" applyAlignment="1" applyProtection="1">
      <alignment vertical="center"/>
    </xf>
    <xf numFmtId="0" fontId="31" fillId="6" borderId="0" xfId="4" applyFont="1" applyFill="1" applyAlignment="1" applyProtection="1">
      <alignment readingOrder="1"/>
    </xf>
    <xf numFmtId="0" fontId="31" fillId="6" borderId="0" xfId="2" applyFont="1" applyFill="1" applyAlignment="1" applyProtection="1">
      <alignment readingOrder="1"/>
    </xf>
    <xf numFmtId="0" fontId="18" fillId="0" borderId="12" xfId="2" applyFont="1" applyBorder="1" applyAlignment="1" applyProtection="1">
      <alignment vertical="center"/>
    </xf>
    <xf numFmtId="0" fontId="18" fillId="0" borderId="0" xfId="2" applyFont="1" applyAlignment="1" applyProtection="1">
      <alignment vertical="top"/>
    </xf>
    <xf numFmtId="0" fontId="15" fillId="0" borderId="0" xfId="2" applyFont="1" applyAlignment="1" applyProtection="1">
      <alignment wrapText="1"/>
    </xf>
    <xf numFmtId="0" fontId="15" fillId="0" borderId="13" xfId="2" applyFont="1" applyBorder="1" applyAlignment="1" applyProtection="1">
      <alignment wrapText="1"/>
    </xf>
    <xf numFmtId="3" fontId="15" fillId="0" borderId="0" xfId="2" applyNumberFormat="1" applyFont="1" applyAlignment="1" applyProtection="1"/>
    <xf numFmtId="0" fontId="31" fillId="6" borderId="0" xfId="4" applyFont="1" applyFill="1" applyAlignment="1" applyProtection="1"/>
    <xf numFmtId="0" fontId="21" fillId="4" borderId="0" xfId="4" applyFont="1" applyFill="1" applyAlignment="1" applyProtection="1">
      <alignment vertical="center" wrapText="1"/>
    </xf>
    <xf numFmtId="0" fontId="13" fillId="11" borderId="1" xfId="1" applyFill="1" applyBorder="1"/>
    <xf numFmtId="0" fontId="19" fillId="0" borderId="0" xfId="2" applyFont="1" applyAlignment="1" applyProtection="1">
      <alignment readingOrder="1"/>
    </xf>
    <xf numFmtId="0" fontId="17" fillId="4" borderId="0" xfId="4" applyFont="1" applyFill="1" applyProtection="1"/>
    <xf numFmtId="0" fontId="0" fillId="17" borderId="0" xfId="0" applyFill="1"/>
    <xf numFmtId="14" fontId="0" fillId="0" borderId="0" xfId="0" applyNumberFormat="1"/>
    <xf numFmtId="170" fontId="0" fillId="0" borderId="0" xfId="0" applyNumberFormat="1"/>
    <xf numFmtId="2" fontId="0" fillId="0" borderId="0" xfId="0" applyNumberFormat="1"/>
    <xf numFmtId="49" fontId="0" fillId="0" borderId="0" xfId="0" applyNumberFormat="1"/>
    <xf numFmtId="0" fontId="0" fillId="0" borderId="0" xfId="6" applyNumberFormat="1" applyFont="1"/>
    <xf numFmtId="0" fontId="17" fillId="0" borderId="0" xfId="0" applyFont="1"/>
    <xf numFmtId="0" fontId="48" fillId="18" borderId="0" xfId="0" applyFont="1" applyFill="1"/>
    <xf numFmtId="0" fontId="49" fillId="18" borderId="0" xfId="1" applyFont="1" applyFill="1"/>
    <xf numFmtId="0" fontId="48" fillId="18" borderId="0" xfId="0" applyFont="1" applyFill="1" applyAlignment="1">
      <alignment wrapText="1"/>
    </xf>
    <xf numFmtId="0" fontId="48" fillId="18" borderId="0" xfId="0" applyFont="1" applyFill="1" applyAlignment="1">
      <alignment horizontal="center"/>
    </xf>
    <xf numFmtId="0" fontId="38" fillId="0" borderId="0" xfId="5" applyFont="1"/>
    <xf numFmtId="0" fontId="17" fillId="0" borderId="28" xfId="0" applyFont="1" applyBorder="1"/>
    <xf numFmtId="0" fontId="17" fillId="0" borderId="29" xfId="0" applyFont="1" applyBorder="1"/>
    <xf numFmtId="0" fontId="17" fillId="0" borderId="28" xfId="0" applyFont="1" applyBorder="1" applyAlignment="1">
      <alignment horizontal="right"/>
    </xf>
    <xf numFmtId="0" fontId="31" fillId="18" borderId="26" xfId="0" applyFont="1" applyFill="1" applyBorder="1"/>
    <xf numFmtId="0" fontId="31" fillId="18" borderId="27" xfId="0" applyFont="1" applyFill="1" applyBorder="1"/>
    <xf numFmtId="0" fontId="56" fillId="18" borderId="25" xfId="0" applyFont="1" applyFill="1" applyBorder="1"/>
    <xf numFmtId="0" fontId="17" fillId="0" borderId="30" xfId="0" applyFont="1" applyBorder="1"/>
    <xf numFmtId="0" fontId="17" fillId="0" borderId="31" xfId="0" applyFont="1" applyBorder="1"/>
    <xf numFmtId="0" fontId="17" fillId="0" borderId="32" xfId="0" applyFont="1" applyBorder="1"/>
    <xf numFmtId="0" fontId="59" fillId="0" borderId="0" xfId="5" applyFont="1" applyAlignment="1">
      <alignment wrapText="1"/>
    </xf>
    <xf numFmtId="0" fontId="14" fillId="0" borderId="0" xfId="0" applyFont="1"/>
    <xf numFmtId="0" fontId="40" fillId="0" borderId="0" xfId="5" applyFont="1" applyAlignment="1">
      <alignment wrapText="1"/>
    </xf>
    <xf numFmtId="49" fontId="14" fillId="0" borderId="0" xfId="0" applyNumberFormat="1" applyFont="1"/>
    <xf numFmtId="0" fontId="60" fillId="0" borderId="0" xfId="5" applyFont="1" applyAlignment="1">
      <alignment wrapText="1"/>
    </xf>
    <xf numFmtId="0" fontId="39" fillId="0" borderId="0" xfId="0" applyFont="1"/>
    <xf numFmtId="49" fontId="39" fillId="0" borderId="0" xfId="5" applyNumberFormat="1" applyFont="1" applyAlignment="1">
      <alignment wrapText="1"/>
    </xf>
    <xf numFmtId="0" fontId="39" fillId="0" borderId="0" xfId="5" applyFont="1" applyAlignment="1">
      <alignment wrapText="1"/>
    </xf>
    <xf numFmtId="0" fontId="0" fillId="0" borderId="28" xfId="0" applyBorder="1"/>
    <xf numFmtId="0" fontId="0" fillId="0" borderId="29" xfId="0" applyBorder="1"/>
    <xf numFmtId="0" fontId="16" fillId="0" borderId="29" xfId="0" applyFont="1" applyBorder="1"/>
    <xf numFmtId="0" fontId="39" fillId="0" borderId="28" xfId="0" applyFont="1" applyBorder="1"/>
    <xf numFmtId="0" fontId="39" fillId="0" borderId="29" xfId="0" applyFont="1" applyBorder="1"/>
    <xf numFmtId="0" fontId="16" fillId="0" borderId="28" xfId="0" applyFont="1" applyBorder="1" applyAlignment="1">
      <alignment horizontal="right" vertical="top"/>
    </xf>
    <xf numFmtId="173" fontId="0" fillId="0" borderId="0" xfId="0" applyNumberFormat="1"/>
    <xf numFmtId="0" fontId="32" fillId="0" borderId="0" xfId="5" applyAlignment="1">
      <alignment horizontal="left"/>
    </xf>
    <xf numFmtId="49" fontId="32" fillId="0" borderId="0" xfId="5" applyNumberFormat="1" applyAlignment="1">
      <alignment horizontal="left"/>
    </xf>
    <xf numFmtId="14" fontId="32" fillId="0" borderId="0" xfId="5" applyNumberFormat="1" applyAlignment="1">
      <alignment horizontal="left"/>
    </xf>
    <xf numFmtId="4" fontId="32" fillId="0" borderId="0" xfId="5" applyNumberFormat="1" applyAlignment="1">
      <alignment horizontal="left"/>
    </xf>
    <xf numFmtId="0" fontId="0" fillId="20" borderId="0" xfId="0" applyFill="1"/>
    <xf numFmtId="171" fontId="0" fillId="0" borderId="0" xfId="0" applyNumberFormat="1" applyAlignment="1">
      <alignment wrapText="1"/>
    </xf>
    <xf numFmtId="0" fontId="0" fillId="17" borderId="0" xfId="0" applyFill="1" applyAlignment="1">
      <alignment wrapText="1"/>
    </xf>
    <xf numFmtId="3" fontId="0" fillId="0" borderId="0" xfId="0" applyNumberFormat="1" applyAlignment="1">
      <alignment wrapText="1"/>
    </xf>
    <xf numFmtId="0" fontId="0" fillId="20" borderId="0" xfId="0" applyFill="1" applyAlignment="1">
      <alignment wrapText="1"/>
    </xf>
    <xf numFmtId="0" fontId="0" fillId="21" borderId="0" xfId="0" applyFill="1"/>
    <xf numFmtId="0" fontId="0" fillId="22" borderId="0" xfId="0" applyFill="1"/>
    <xf numFmtId="0" fontId="45" fillId="0" borderId="0" xfId="4" applyFont="1" applyAlignment="1" applyProtection="1">
      <alignment vertical="top"/>
    </xf>
    <xf numFmtId="0" fontId="0" fillId="0" borderId="17" xfId="0" applyBorder="1"/>
    <xf numFmtId="0" fontId="0" fillId="0" borderId="4" xfId="0" applyBorder="1"/>
    <xf numFmtId="0" fontId="0" fillId="0" borderId="19" xfId="0" applyBorder="1"/>
    <xf numFmtId="0" fontId="26" fillId="0" borderId="13" xfId="2" applyFont="1" applyBorder="1" applyAlignment="1" applyProtection="1">
      <alignment horizontal="left"/>
    </xf>
    <xf numFmtId="0" fontId="27" fillId="0" borderId="13" xfId="2" applyFont="1" applyBorder="1" applyProtection="1"/>
    <xf numFmtId="0" fontId="0" fillId="0" borderId="13" xfId="0" applyBorder="1"/>
    <xf numFmtId="0" fontId="0" fillId="0" borderId="5" xfId="0" applyBorder="1"/>
    <xf numFmtId="0" fontId="17" fillId="0" borderId="18" xfId="0" applyFont="1" applyBorder="1"/>
    <xf numFmtId="0" fontId="17" fillId="0" borderId="12" xfId="0" applyFont="1" applyBorder="1"/>
    <xf numFmtId="0" fontId="17" fillId="0" borderId="3" xfId="0" applyFont="1" applyBorder="1"/>
    <xf numFmtId="1" fontId="0" fillId="0" borderId="0" xfId="0" applyNumberFormat="1" applyAlignment="1">
      <alignment wrapText="1"/>
    </xf>
    <xf numFmtId="1" fontId="0" fillId="0" borderId="0" xfId="0" applyNumberFormat="1"/>
    <xf numFmtId="1" fontId="0" fillId="21" borderId="0" xfId="0" applyNumberFormat="1" applyFill="1"/>
    <xf numFmtId="2" fontId="0" fillId="0" borderId="0" xfId="0" applyNumberFormat="1" applyAlignment="1">
      <alignment wrapText="1"/>
    </xf>
    <xf numFmtId="2" fontId="0" fillId="21" borderId="0" xfId="0" applyNumberFormat="1" applyFill="1"/>
    <xf numFmtId="175" fontId="0" fillId="0" borderId="0" xfId="0" applyNumberFormat="1" applyAlignment="1">
      <alignment wrapText="1"/>
    </xf>
    <xf numFmtId="175" fontId="0" fillId="0" borderId="0" xfId="0" applyNumberFormat="1"/>
    <xf numFmtId="175" fontId="0" fillId="21" borderId="0" xfId="0" applyNumberFormat="1" applyFill="1"/>
    <xf numFmtId="0" fontId="17" fillId="0" borderId="0" xfId="0" applyFont="1" applyAlignment="1">
      <alignment vertical="top" wrapText="1"/>
    </xf>
    <xf numFmtId="0" fontId="17" fillId="0" borderId="29" xfId="0" applyFont="1" applyBorder="1" applyAlignment="1">
      <alignment vertical="top" wrapText="1"/>
    </xf>
    <xf numFmtId="0" fontId="17" fillId="0" borderId="28" xfId="0" applyFont="1" applyBorder="1" applyAlignment="1">
      <alignment vertical="top"/>
    </xf>
    <xf numFmtId="0" fontId="17" fillId="0" borderId="0" xfId="0" applyFont="1" applyAlignment="1">
      <alignment vertical="top"/>
    </xf>
    <xf numFmtId="0" fontId="17" fillId="0" borderId="30" xfId="0" applyFont="1" applyBorder="1" applyAlignment="1">
      <alignment vertical="top"/>
    </xf>
    <xf numFmtId="0" fontId="17" fillId="0" borderId="0" xfId="0" applyFont="1" applyAlignment="1">
      <alignment horizontal="left" vertical="top"/>
    </xf>
    <xf numFmtId="0" fontId="64" fillId="18" borderId="0" xfId="0" applyFont="1" applyFill="1" applyAlignment="1">
      <alignment horizontal="right"/>
    </xf>
    <xf numFmtId="0" fontId="0" fillId="8" borderId="0" xfId="0" applyFill="1"/>
    <xf numFmtId="1" fontId="0" fillId="8" borderId="0" xfId="0" applyNumberFormat="1" applyFill="1"/>
    <xf numFmtId="2" fontId="0" fillId="8" borderId="0" xfId="0" applyNumberFormat="1" applyFill="1"/>
    <xf numFmtId="0" fontId="0" fillId="8" borderId="0" xfId="0" quotePrefix="1" applyFill="1"/>
    <xf numFmtId="0" fontId="0" fillId="23" borderId="0" xfId="0" applyFill="1"/>
    <xf numFmtId="2" fontId="0" fillId="23" borderId="0" xfId="0" applyNumberFormat="1" applyFill="1"/>
    <xf numFmtId="1" fontId="0" fillId="23" borderId="0" xfId="0" applyNumberFormat="1" applyFill="1"/>
    <xf numFmtId="175" fontId="0" fillId="23" borderId="0" xfId="0" applyNumberFormat="1" applyFill="1"/>
    <xf numFmtId="171" fontId="0" fillId="0" borderId="0" xfId="0" applyNumberFormat="1"/>
    <xf numFmtId="171" fontId="0" fillId="8" borderId="0" xfId="0" applyNumberFormat="1" applyFill="1"/>
    <xf numFmtId="171" fontId="0" fillId="21" borderId="0" xfId="0" applyNumberFormat="1" applyFill="1"/>
    <xf numFmtId="171" fontId="0" fillId="23" borderId="0" xfId="0" applyNumberFormat="1" applyFill="1"/>
    <xf numFmtId="0" fontId="37" fillId="0" borderId="0" xfId="5" applyFont="1" applyAlignment="1">
      <alignment wrapText="1"/>
    </xf>
    <xf numFmtId="49" fontId="65" fillId="0" borderId="0" xfId="0" applyNumberFormat="1" applyFont="1"/>
    <xf numFmtId="0" fontId="65" fillId="0" borderId="0" xfId="0" applyFont="1"/>
    <xf numFmtId="0" fontId="37" fillId="24" borderId="15" xfId="5" applyFont="1" applyFill="1" applyBorder="1" applyAlignment="1">
      <alignment wrapText="1"/>
    </xf>
    <xf numFmtId="49" fontId="66" fillId="0" borderId="0" xfId="0" applyNumberFormat="1" applyFont="1"/>
    <xf numFmtId="0" fontId="66" fillId="0" borderId="0" xfId="0" applyFont="1"/>
    <xf numFmtId="0" fontId="67" fillId="0" borderId="0" xfId="5" applyFont="1"/>
    <xf numFmtId="49" fontId="0" fillId="0" borderId="0" xfId="0" applyNumberFormat="1" applyAlignment="1">
      <alignment wrapText="1"/>
    </xf>
    <xf numFmtId="49" fontId="13" fillId="8" borderId="0" xfId="1" applyNumberFormat="1" applyFill="1"/>
    <xf numFmtId="49" fontId="0" fillId="8" borderId="0" xfId="0" applyNumberFormat="1" applyFill="1"/>
    <xf numFmtId="0" fontId="17" fillId="0" borderId="17" xfId="0" applyFont="1" applyBorder="1"/>
    <xf numFmtId="0" fontId="17" fillId="0" borderId="4" xfId="0" applyFont="1" applyBorder="1"/>
    <xf numFmtId="0" fontId="17" fillId="0" borderId="19" xfId="0" applyFont="1" applyBorder="1"/>
    <xf numFmtId="0" fontId="17" fillId="0" borderId="13" xfId="0" applyFont="1" applyBorder="1"/>
    <xf numFmtId="0" fontId="17" fillId="0" borderId="5" xfId="0" applyFont="1" applyBorder="1"/>
    <xf numFmtId="0" fontId="49" fillId="18" borderId="0" xfId="1" applyFont="1" applyFill="1" applyProtection="1"/>
    <xf numFmtId="0" fontId="17" fillId="0" borderId="13" xfId="2" applyFont="1" applyBorder="1" applyAlignment="1" applyProtection="1"/>
    <xf numFmtId="165" fontId="17" fillId="0" borderId="13" xfId="2" applyNumberFormat="1" applyFont="1" applyBorder="1" applyAlignment="1" applyProtection="1"/>
    <xf numFmtId="165" fontId="17" fillId="0" borderId="13" xfId="2" applyNumberFormat="1" applyFont="1" applyBorder="1" applyAlignment="1" applyProtection="1">
      <alignment shrinkToFit="1"/>
    </xf>
    <xf numFmtId="3" fontId="20" fillId="0" borderId="13" xfId="2" applyNumberFormat="1" applyFont="1" applyBorder="1" applyAlignment="1" applyProtection="1"/>
    <xf numFmtId="0" fontId="17" fillId="5" borderId="13" xfId="0" applyFont="1" applyFill="1" applyBorder="1"/>
    <xf numFmtId="0" fontId="31" fillId="6" borderId="0" xfId="2" applyFont="1" applyFill="1" applyAlignment="1" applyProtection="1"/>
    <xf numFmtId="0" fontId="25" fillId="0" borderId="0" xfId="2" applyFont="1" applyAlignment="1" applyProtection="1">
      <alignment vertical="top" wrapText="1"/>
    </xf>
    <xf numFmtId="14" fontId="17" fillId="0" borderId="13" xfId="2" applyNumberFormat="1" applyFont="1" applyBorder="1" applyAlignment="1" applyProtection="1"/>
    <xf numFmtId="0" fontId="24" fillId="0" borderId="12" xfId="2" applyFont="1" applyBorder="1" applyAlignment="1" applyProtection="1"/>
    <xf numFmtId="0" fontId="24" fillId="0" borderId="0" xfId="2" applyFont="1" applyAlignment="1" applyProtection="1"/>
    <xf numFmtId="0" fontId="23" fillId="0" borderId="13" xfId="2" applyFont="1" applyBorder="1" applyAlignment="1" applyProtection="1"/>
    <xf numFmtId="0" fontId="30" fillId="0" borderId="13" xfId="0" applyFont="1" applyBorder="1"/>
    <xf numFmtId="0" fontId="19" fillId="0" borderId="0" xfId="0" applyFont="1"/>
    <xf numFmtId="0" fontId="30" fillId="0" borderId="13" xfId="2" applyFont="1" applyBorder="1" applyAlignment="1" applyProtection="1"/>
    <xf numFmtId="0" fontId="30" fillId="0" borderId="0" xfId="2" applyFont="1" applyAlignment="1" applyProtection="1"/>
    <xf numFmtId="0" fontId="22" fillId="4" borderId="0" xfId="4" applyFont="1" applyFill="1" applyAlignment="1" applyProtection="1"/>
    <xf numFmtId="0" fontId="14" fillId="0" borderId="0" xfId="4" applyProtection="1"/>
    <xf numFmtId="0" fontId="0" fillId="0" borderId="0" xfId="0" quotePrefix="1"/>
    <xf numFmtId="0" fontId="22" fillId="0" borderId="0" xfId="2" applyFont="1" applyAlignment="1" applyProtection="1">
      <alignment vertical="center" wrapText="1"/>
    </xf>
    <xf numFmtId="0" fontId="23" fillId="0" borderId="0" xfId="2" applyFont="1" applyAlignment="1" applyProtection="1">
      <alignment vertical="top"/>
    </xf>
    <xf numFmtId="0" fontId="77" fillId="0" borderId="0" xfId="5" applyFont="1" applyAlignment="1">
      <alignment wrapText="1"/>
    </xf>
    <xf numFmtId="0" fontId="78" fillId="0" borderId="0" xfId="0" applyFont="1" applyAlignment="1">
      <alignment vertical="top"/>
    </xf>
    <xf numFmtId="0" fontId="79" fillId="0" borderId="0" xfId="0" applyFont="1"/>
    <xf numFmtId="0" fontId="80" fillId="0" borderId="0" xfId="5" applyFont="1"/>
    <xf numFmtId="0" fontId="79" fillId="0" borderId="0" xfId="5" applyFont="1" applyAlignment="1">
      <alignment wrapText="1"/>
    </xf>
    <xf numFmtId="49" fontId="40" fillId="0" borderId="0" xfId="0" applyNumberFormat="1" applyFont="1"/>
    <xf numFmtId="0" fontId="41" fillId="0" borderId="0" xfId="0" applyFont="1"/>
    <xf numFmtId="0" fontId="44" fillId="29" borderId="44" xfId="0" applyFont="1" applyFill="1" applyBorder="1"/>
    <xf numFmtId="0" fontId="44" fillId="29" borderId="45" xfId="0" applyFont="1" applyFill="1" applyBorder="1"/>
    <xf numFmtId="168" fontId="44" fillId="29" borderId="45" xfId="0" applyNumberFormat="1" applyFont="1" applyFill="1" applyBorder="1"/>
    <xf numFmtId="168" fontId="44" fillId="29" borderId="48" xfId="0" applyNumberFormat="1" applyFont="1" applyFill="1" applyBorder="1"/>
    <xf numFmtId="0" fontId="44" fillId="0" borderId="44" xfId="0" applyFont="1" applyBorder="1"/>
    <xf numFmtId="0" fontId="44" fillId="0" borderId="45" xfId="0" applyFont="1" applyBorder="1"/>
    <xf numFmtId="168" fontId="44" fillId="0" borderId="45" xfId="0" applyNumberFormat="1" applyFont="1" applyBorder="1"/>
    <xf numFmtId="168" fontId="44" fillId="0" borderId="48" xfId="0" applyNumberFormat="1" applyFont="1" applyBorder="1"/>
    <xf numFmtId="49" fontId="42" fillId="0" borderId="0" xfId="0" applyNumberFormat="1" applyFont="1"/>
    <xf numFmtId="0" fontId="42" fillId="0" borderId="0" xfId="0" applyFont="1"/>
    <xf numFmtId="49" fontId="42" fillId="0" borderId="0" xfId="0" applyNumberFormat="1" applyFont="1" applyAlignment="1">
      <alignment wrapText="1"/>
    </xf>
    <xf numFmtId="49" fontId="85" fillId="0" borderId="0" xfId="0" applyNumberFormat="1" applyFont="1"/>
    <xf numFmtId="0" fontId="85" fillId="0" borderId="0" xfId="0" applyFont="1"/>
    <xf numFmtId="0" fontId="0" fillId="0" borderId="0" xfId="5" applyFont="1"/>
    <xf numFmtId="0" fontId="0" fillId="2" borderId="8" xfId="0" applyFill="1" applyBorder="1"/>
    <xf numFmtId="1" fontId="0" fillId="7" borderId="1" xfId="0" applyNumberFormat="1" applyFill="1" applyBorder="1"/>
    <xf numFmtId="1" fontId="0" fillId="12" borderId="1" xfId="0" applyNumberFormat="1" applyFill="1" applyBorder="1"/>
    <xf numFmtId="0" fontId="97" fillId="0" borderId="0" xfId="5" applyFont="1"/>
    <xf numFmtId="0" fontId="98" fillId="0" borderId="0" xfId="5" applyFont="1"/>
    <xf numFmtId="0" fontId="99" fillId="24" borderId="15" xfId="5" applyFont="1" applyFill="1" applyBorder="1" applyAlignment="1">
      <alignment wrapText="1"/>
    </xf>
    <xf numFmtId="0" fontId="100" fillId="0" borderId="0" xfId="5" applyFont="1"/>
    <xf numFmtId="0" fontId="101" fillId="0" borderId="0" xfId="5" applyFont="1" applyAlignment="1">
      <alignment horizontal="left"/>
    </xf>
    <xf numFmtId="49" fontId="101" fillId="0" borderId="0" xfId="5" applyNumberFormat="1" applyFont="1" applyAlignment="1">
      <alignment horizontal="left"/>
    </xf>
    <xf numFmtId="14" fontId="101" fillId="0" borderId="0" xfId="5" applyNumberFormat="1" applyFont="1" applyAlignment="1">
      <alignment horizontal="left"/>
    </xf>
    <xf numFmtId="0" fontId="101" fillId="0" borderId="0" xfId="5" applyFont="1"/>
    <xf numFmtId="0" fontId="32" fillId="29" borderId="44" xfId="5" applyFill="1" applyBorder="1" applyAlignment="1">
      <alignment horizontal="left"/>
    </xf>
    <xf numFmtId="49" fontId="32" fillId="29" borderId="45" xfId="5" applyNumberFormat="1" applyFill="1" applyBorder="1" applyAlignment="1">
      <alignment horizontal="left"/>
    </xf>
    <xf numFmtId="0" fontId="32" fillId="29" borderId="45" xfId="5" applyFill="1" applyBorder="1" applyAlignment="1">
      <alignment horizontal="left"/>
    </xf>
    <xf numFmtId="14" fontId="32" fillId="29" borderId="45" xfId="5" applyNumberFormat="1" applyFill="1" applyBorder="1" applyAlignment="1">
      <alignment horizontal="left"/>
    </xf>
    <xf numFmtId="0" fontId="32" fillId="29" borderId="45" xfId="5" applyFill="1" applyBorder="1"/>
    <xf numFmtId="0" fontId="32" fillId="29" borderId="48" xfId="5" applyFill="1" applyBorder="1"/>
    <xf numFmtId="0" fontId="32" fillId="0" borderId="44" xfId="5" applyBorder="1" applyAlignment="1">
      <alignment horizontal="left"/>
    </xf>
    <xf numFmtId="49" fontId="32" fillId="0" borderId="45" xfId="5" applyNumberFormat="1" applyBorder="1" applyAlignment="1">
      <alignment horizontal="left"/>
    </xf>
    <xf numFmtId="0" fontId="32" fillId="0" borderId="45" xfId="5" applyBorder="1" applyAlignment="1">
      <alignment horizontal="left"/>
    </xf>
    <xf numFmtId="0" fontId="32" fillId="0" borderId="45" xfId="5" applyBorder="1"/>
    <xf numFmtId="0" fontId="37" fillId="28" borderId="52" xfId="5" applyFont="1" applyFill="1" applyBorder="1" applyAlignment="1">
      <alignment horizontal="left"/>
    </xf>
    <xf numFmtId="0" fontId="37" fillId="28" borderId="53" xfId="5" applyFont="1" applyFill="1" applyBorder="1" applyAlignment="1">
      <alignment horizontal="left"/>
    </xf>
    <xf numFmtId="49" fontId="37" fillId="28" borderId="53" xfId="5" applyNumberFormat="1" applyFont="1" applyFill="1" applyBorder="1" applyAlignment="1">
      <alignment horizontal="left"/>
    </xf>
    <xf numFmtId="14" fontId="37" fillId="28" borderId="53" xfId="5" applyNumberFormat="1" applyFont="1" applyFill="1" applyBorder="1" applyAlignment="1">
      <alignment horizontal="left"/>
    </xf>
    <xf numFmtId="0" fontId="37" fillId="28" borderId="53" xfId="5" applyFont="1" applyFill="1" applyBorder="1" applyAlignment="1">
      <alignment wrapText="1"/>
    </xf>
    <xf numFmtId="0" fontId="37" fillId="28" borderId="54" xfId="5" applyFont="1" applyFill="1" applyBorder="1" applyAlignment="1">
      <alignment wrapText="1"/>
    </xf>
    <xf numFmtId="0" fontId="81" fillId="0" borderId="0" xfId="5" applyFont="1" applyAlignment="1">
      <alignment wrapText="1"/>
    </xf>
    <xf numFmtId="0" fontId="0" fillId="31" borderId="0" xfId="0" applyFill="1"/>
    <xf numFmtId="0" fontId="0" fillId="29" borderId="45" xfId="0" applyFill="1" applyBorder="1"/>
    <xf numFmtId="0" fontId="0" fillId="29" borderId="44" xfId="0" applyFill="1" applyBorder="1"/>
    <xf numFmtId="168" fontId="0" fillId="29" borderId="45" xfId="0" applyNumberFormat="1" applyFill="1" applyBorder="1"/>
    <xf numFmtId="168" fontId="0" fillId="29" borderId="48" xfId="0" applyNumberFormat="1" applyFill="1" applyBorder="1"/>
    <xf numFmtId="0" fontId="0" fillId="0" borderId="0" xfId="0" applyAlignment="1">
      <alignment horizontal="left"/>
    </xf>
    <xf numFmtId="0" fontId="17" fillId="0" borderId="0" xfId="0" applyFont="1" applyAlignment="1">
      <alignment horizontal="left"/>
    </xf>
    <xf numFmtId="0" fontId="82" fillId="0" borderId="0" xfId="0" applyFont="1" applyAlignment="1">
      <alignment vertical="center" wrapText="1"/>
    </xf>
    <xf numFmtId="0" fontId="82" fillId="0" borderId="0" xfId="0" applyFont="1" applyAlignment="1">
      <alignment vertical="top" wrapText="1"/>
    </xf>
    <xf numFmtId="0" fontId="16" fillId="0" borderId="0" xfId="0" applyFont="1"/>
    <xf numFmtId="0" fontId="17" fillId="18" borderId="0" xfId="0" applyFont="1" applyFill="1"/>
    <xf numFmtId="0" fontId="31" fillId="0" borderId="0" xfId="0" applyFont="1"/>
    <xf numFmtId="166" fontId="48" fillId="18" borderId="0" xfId="0" applyNumberFormat="1" applyFont="1" applyFill="1"/>
    <xf numFmtId="0" fontId="68" fillId="0" borderId="0" xfId="0" applyFont="1"/>
    <xf numFmtId="166" fontId="17" fillId="0" borderId="0" xfId="0" applyNumberFormat="1" applyFont="1"/>
    <xf numFmtId="169" fontId="17" fillId="0" borderId="0" xfId="0" applyNumberFormat="1" applyFont="1"/>
    <xf numFmtId="170" fontId="17" fillId="0" borderId="0" xfId="0" applyNumberFormat="1" applyFont="1"/>
    <xf numFmtId="0" fontId="31" fillId="30" borderId="35" xfId="0" applyFont="1" applyFill="1" applyBorder="1"/>
    <xf numFmtId="0" fontId="31" fillId="30" borderId="36" xfId="0" applyFont="1" applyFill="1" applyBorder="1"/>
    <xf numFmtId="0" fontId="72" fillId="0" borderId="0" xfId="0" applyFont="1"/>
    <xf numFmtId="0" fontId="72" fillId="0" borderId="50" xfId="0" applyFont="1" applyBorder="1"/>
    <xf numFmtId="2" fontId="94" fillId="0" borderId="0" xfId="0" applyNumberFormat="1" applyFont="1" applyAlignment="1">
      <alignment vertical="center" wrapText="1"/>
    </xf>
    <xf numFmtId="177" fontId="94" fillId="0" borderId="0" xfId="0" applyNumberFormat="1" applyFont="1" applyAlignment="1">
      <alignment vertical="center" wrapText="1"/>
    </xf>
    <xf numFmtId="0" fontId="94" fillId="0" borderId="0" xfId="0" applyFont="1" applyAlignment="1">
      <alignment vertical="center" wrapText="1"/>
    </xf>
    <xf numFmtId="0" fontId="94" fillId="0" borderId="0" xfId="0" applyFont="1" applyAlignment="1">
      <alignment vertical="center"/>
    </xf>
    <xf numFmtId="0" fontId="17" fillId="0" borderId="13" xfId="0" applyFont="1" applyBorder="1" applyAlignment="1">
      <alignment horizontal="left"/>
    </xf>
    <xf numFmtId="1" fontId="0" fillId="26" borderId="0" xfId="0" applyNumberFormat="1" applyFill="1" applyAlignment="1">
      <alignment wrapText="1"/>
    </xf>
    <xf numFmtId="1" fontId="0" fillId="26" borderId="0" xfId="0" applyNumberFormat="1" applyFill="1"/>
    <xf numFmtId="0" fontId="11" fillId="0" borderId="0" xfId="0" applyFont="1"/>
    <xf numFmtId="0" fontId="82" fillId="0" borderId="0" xfId="0" applyFont="1" applyAlignment="1">
      <alignment horizontal="center" vertical="center" wrapText="1"/>
    </xf>
    <xf numFmtId="0" fontId="48" fillId="0" borderId="0" xfId="0" applyFont="1"/>
    <xf numFmtId="166" fontId="48" fillId="0" borderId="0" xfId="0" applyNumberFormat="1" applyFont="1"/>
    <xf numFmtId="0" fontId="48" fillId="0" borderId="0" xfId="0" applyFont="1" applyAlignment="1">
      <alignment vertical="center"/>
    </xf>
    <xf numFmtId="0" fontId="94" fillId="0" borderId="0" xfId="0" applyFont="1"/>
    <xf numFmtId="2" fontId="94" fillId="0" borderId="0" xfId="0" applyNumberFormat="1" applyFont="1" applyAlignment="1">
      <alignment vertical="center"/>
    </xf>
    <xf numFmtId="0" fontId="72" fillId="0" borderId="0" xfId="0" applyFont="1" applyAlignment="1">
      <alignment vertical="center"/>
    </xf>
    <xf numFmtId="175" fontId="72" fillId="0" borderId="0" xfId="0" applyNumberFormat="1" applyFont="1"/>
    <xf numFmtId="0" fontId="71" fillId="0" borderId="0" xfId="0" applyFont="1" applyAlignment="1">
      <alignment vertical="top"/>
    </xf>
    <xf numFmtId="175" fontId="51" fillId="0" borderId="0" xfId="0" applyNumberFormat="1" applyFont="1" applyAlignment="1">
      <alignment vertical="center" wrapText="1"/>
    </xf>
    <xf numFmtId="0" fontId="83" fillId="0" borderId="0" xfId="0" applyFont="1" applyAlignment="1">
      <alignment vertical="center"/>
    </xf>
    <xf numFmtId="2" fontId="58" fillId="0" borderId="0" xfId="0" applyNumberFormat="1" applyFont="1" applyAlignment="1">
      <alignment vertical="center"/>
    </xf>
    <xf numFmtId="2" fontId="92" fillId="0" borderId="0" xfId="0" applyNumberFormat="1" applyFont="1" applyAlignment="1">
      <alignment vertical="center"/>
    </xf>
    <xf numFmtId="0" fontId="86" fillId="0" borderId="0" xfId="0" applyFont="1"/>
    <xf numFmtId="0" fontId="93" fillId="0" borderId="0" xfId="0" applyFont="1"/>
    <xf numFmtId="169" fontId="47" fillId="0" borderId="0" xfId="0" applyNumberFormat="1" applyFont="1" applyAlignment="1">
      <alignment vertical="top"/>
    </xf>
    <xf numFmtId="166" fontId="58" fillId="0" borderId="0" xfId="0" applyNumberFormat="1" applyFont="1" applyAlignment="1">
      <alignment vertical="center"/>
    </xf>
    <xf numFmtId="166" fontId="92" fillId="0" borderId="0" xfId="0" applyNumberFormat="1" applyFont="1" applyAlignment="1">
      <alignment vertical="center"/>
    </xf>
    <xf numFmtId="9" fontId="58" fillId="0" borderId="0" xfId="0" applyNumberFormat="1" applyFont="1" applyAlignment="1">
      <alignment vertical="center"/>
    </xf>
    <xf numFmtId="9" fontId="92" fillId="0" borderId="0" xfId="0" applyNumberFormat="1" applyFont="1" applyAlignment="1">
      <alignment vertical="center"/>
    </xf>
    <xf numFmtId="166" fontId="47" fillId="0" borderId="0" xfId="0" applyNumberFormat="1" applyFont="1"/>
    <xf numFmtId="0" fontId="87" fillId="0" borderId="0" xfId="0" applyFont="1" applyAlignment="1">
      <alignment vertical="center"/>
    </xf>
    <xf numFmtId="0" fontId="58" fillId="0" borderId="0" xfId="0" applyFont="1" applyAlignment="1">
      <alignment vertical="center"/>
    </xf>
    <xf numFmtId="0" fontId="92" fillId="0" borderId="0" xfId="0" applyFont="1" applyAlignment="1">
      <alignment vertical="center"/>
    </xf>
    <xf numFmtId="165" fontId="17" fillId="0" borderId="0" xfId="0" applyNumberFormat="1" applyFont="1"/>
    <xf numFmtId="0" fontId="102" fillId="0" borderId="0" xfId="0" applyFont="1"/>
    <xf numFmtId="0" fontId="51" fillId="0" borderId="0" xfId="0" applyFont="1"/>
    <xf numFmtId="0" fontId="12" fillId="0" borderId="0" xfId="0" applyFont="1"/>
    <xf numFmtId="0" fontId="89" fillId="0" borderId="0" xfId="0" applyFont="1" applyAlignment="1">
      <alignment vertical="center"/>
    </xf>
    <xf numFmtId="0" fontId="91" fillId="0" borderId="0" xfId="0" applyFont="1" applyAlignment="1">
      <alignment vertical="center"/>
    </xf>
    <xf numFmtId="0" fontId="55" fillId="0" borderId="0" xfId="0" applyFont="1"/>
    <xf numFmtId="49" fontId="103" fillId="0" borderId="0" xfId="0" applyNumberFormat="1" applyFont="1"/>
    <xf numFmtId="0" fontId="103" fillId="0" borderId="0" xfId="0" applyFont="1"/>
    <xf numFmtId="166" fontId="0" fillId="0" borderId="0" xfId="0" applyNumberFormat="1"/>
    <xf numFmtId="0" fontId="10" fillId="0" borderId="0" xfId="0" applyFont="1"/>
    <xf numFmtId="0" fontId="82" fillId="0" borderId="0" xfId="0" applyFont="1" applyAlignment="1">
      <alignment vertical="center"/>
    </xf>
    <xf numFmtId="0" fontId="105" fillId="0" borderId="0" xfId="0" applyFont="1" applyAlignment="1">
      <alignment vertical="center"/>
    </xf>
    <xf numFmtId="0" fontId="106" fillId="0" borderId="0" xfId="0" applyFont="1" applyAlignment="1">
      <alignment vertical="center" wrapText="1"/>
    </xf>
    <xf numFmtId="166" fontId="82" fillId="0" borderId="0" xfId="0" applyNumberFormat="1" applyFont="1" applyAlignment="1">
      <alignment vertical="center"/>
    </xf>
    <xf numFmtId="0" fontId="104" fillId="0" borderId="0" xfId="0" applyFont="1" applyAlignment="1">
      <alignment vertical="center"/>
    </xf>
    <xf numFmtId="166" fontId="104" fillId="0" borderId="0" xfId="0" applyNumberFormat="1" applyFont="1" applyAlignment="1">
      <alignment vertical="center"/>
    </xf>
    <xf numFmtId="0" fontId="9" fillId="0" borderId="0" xfId="0" applyFont="1"/>
    <xf numFmtId="0" fontId="0" fillId="0" borderId="44" xfId="0" applyBorder="1"/>
    <xf numFmtId="0" fontId="0" fillId="0" borderId="45" xfId="0" applyBorder="1"/>
    <xf numFmtId="168" fontId="0" fillId="0" borderId="45" xfId="0" applyNumberFormat="1" applyBorder="1"/>
    <xf numFmtId="171" fontId="0" fillId="0" borderId="48" xfId="0" applyNumberFormat="1" applyBorder="1"/>
    <xf numFmtId="175" fontId="0" fillId="17" borderId="0" xfId="0" applyNumberFormat="1" applyFill="1"/>
    <xf numFmtId="49" fontId="101" fillId="29" borderId="45" xfId="5" applyNumberFormat="1" applyFont="1" applyFill="1" applyBorder="1" applyAlignment="1">
      <alignment horizontal="left"/>
    </xf>
    <xf numFmtId="49" fontId="101" fillId="0" borderId="45" xfId="5" applyNumberFormat="1" applyFont="1" applyBorder="1" applyAlignment="1">
      <alignment horizontal="left"/>
    </xf>
    <xf numFmtId="0" fontId="101" fillId="29" borderId="45" xfId="5" applyFont="1" applyFill="1" applyBorder="1" applyAlignment="1">
      <alignment horizontal="left"/>
    </xf>
    <xf numFmtId="0" fontId="101" fillId="0" borderId="45" xfId="5" applyFont="1" applyBorder="1" applyAlignment="1">
      <alignment horizontal="left"/>
    </xf>
    <xf numFmtId="0" fontId="101" fillId="29" borderId="45" xfId="5" applyFont="1" applyFill="1" applyBorder="1"/>
    <xf numFmtId="0" fontId="101" fillId="0" borderId="45" xfId="5" applyFont="1" applyBorder="1"/>
    <xf numFmtId="0" fontId="101" fillId="29" borderId="48" xfId="5" applyFont="1" applyFill="1" applyBorder="1"/>
    <xf numFmtId="0" fontId="101" fillId="0" borderId="48" xfId="5" applyFont="1" applyBorder="1"/>
    <xf numFmtId="0" fontId="101" fillId="29" borderId="58" xfId="5" applyFont="1" applyFill="1" applyBorder="1" applyAlignment="1">
      <alignment horizontal="left"/>
    </xf>
    <xf numFmtId="171" fontId="0" fillId="7" borderId="1" xfId="0" applyNumberFormat="1" applyFill="1" applyBorder="1"/>
    <xf numFmtId="171" fontId="0" fillId="12" borderId="1" xfId="0" applyNumberFormat="1" applyFill="1" applyBorder="1"/>
    <xf numFmtId="166" fontId="0" fillId="7" borderId="1" xfId="0" applyNumberFormat="1" applyFill="1" applyBorder="1"/>
    <xf numFmtId="166" fontId="0" fillId="12" borderId="1" xfId="0" applyNumberFormat="1" applyFill="1" applyBorder="1"/>
    <xf numFmtId="0" fontId="44" fillId="11" borderId="1" xfId="0" applyFont="1" applyFill="1" applyBorder="1"/>
    <xf numFmtId="166" fontId="44" fillId="7" borderId="1" xfId="0" applyNumberFormat="1" applyFont="1" applyFill="1" applyBorder="1"/>
    <xf numFmtId="166" fontId="44" fillId="12" borderId="1" xfId="0" applyNumberFormat="1" applyFont="1" applyFill="1" applyBorder="1"/>
    <xf numFmtId="0" fontId="44" fillId="0" borderId="0" xfId="0" applyFont="1"/>
    <xf numFmtId="166" fontId="44" fillId="0" borderId="0" xfId="0" applyNumberFormat="1" applyFont="1"/>
    <xf numFmtId="0" fontId="108" fillId="34" borderId="59" xfId="5" applyFont="1" applyFill="1" applyBorder="1"/>
    <xf numFmtId="0" fontId="101" fillId="0" borderId="59" xfId="5" applyFont="1" applyBorder="1"/>
    <xf numFmtId="0" fontId="101" fillId="0" borderId="60" xfId="5" applyFont="1" applyBorder="1"/>
    <xf numFmtId="4" fontId="101" fillId="0" borderId="0" xfId="5" applyNumberFormat="1" applyFont="1" applyAlignment="1">
      <alignment horizontal="left"/>
    </xf>
    <xf numFmtId="0" fontId="109" fillId="0" borderId="0" xfId="5" applyFont="1" applyAlignment="1">
      <alignment horizontal="left"/>
    </xf>
    <xf numFmtId="0" fontId="1" fillId="0" borderId="0" xfId="0" applyFont="1" applyAlignment="1">
      <alignment vertical="top" wrapText="1"/>
    </xf>
    <xf numFmtId="0" fontId="1" fillId="0" borderId="0" xfId="0" applyFont="1" applyAlignment="1">
      <alignment vertical="center" wrapText="1"/>
    </xf>
    <xf numFmtId="14" fontId="101" fillId="0" borderId="45" xfId="5" applyNumberFormat="1" applyFont="1" applyBorder="1" applyAlignment="1">
      <alignment horizontal="left"/>
    </xf>
    <xf numFmtId="14" fontId="101" fillId="29" borderId="45" xfId="5" applyNumberFormat="1" applyFont="1" applyFill="1" applyBorder="1" applyAlignment="1">
      <alignment horizontal="left"/>
    </xf>
    <xf numFmtId="0" fontId="1" fillId="0" borderId="0" xfId="0" applyFont="1" applyAlignment="1">
      <alignment wrapText="1"/>
    </xf>
    <xf numFmtId="0" fontId="0" fillId="27" borderId="0" xfId="0" applyFill="1"/>
    <xf numFmtId="0" fontId="1" fillId="27" borderId="0" xfId="0" applyFont="1" applyFill="1"/>
    <xf numFmtId="176" fontId="17" fillId="0" borderId="0" xfId="0" applyNumberFormat="1" applyFont="1" applyAlignment="1" applyProtection="1">
      <alignment horizontal="left"/>
      <protection locked="0"/>
    </xf>
    <xf numFmtId="14" fontId="0" fillId="20" borderId="0" xfId="0" applyNumberFormat="1" applyFill="1"/>
    <xf numFmtId="49" fontId="0" fillId="20" borderId="0" xfId="0" applyNumberFormat="1" applyFill="1"/>
    <xf numFmtId="0" fontId="0" fillId="30" borderId="0" xfId="0" applyFill="1"/>
    <xf numFmtId="0" fontId="1" fillId="30" borderId="0" xfId="0" applyFont="1" applyFill="1"/>
    <xf numFmtId="0" fontId="17" fillId="30" borderId="0" xfId="0" applyFont="1" applyFill="1"/>
    <xf numFmtId="0" fontId="17" fillId="30" borderId="0" xfId="0" applyFont="1" applyFill="1" applyAlignment="1">
      <alignment horizontal="left"/>
    </xf>
    <xf numFmtId="0" fontId="5" fillId="30" borderId="0" xfId="0" applyFont="1" applyFill="1" applyAlignment="1">
      <alignment horizontal="left"/>
    </xf>
    <xf numFmtId="176" fontId="17" fillId="30" borderId="0" xfId="0" applyNumberFormat="1" applyFont="1" applyFill="1" applyAlignment="1">
      <alignment horizontal="left"/>
    </xf>
    <xf numFmtId="0" fontId="116" fillId="30" borderId="0" xfId="0" applyFont="1" applyFill="1" applyAlignment="1">
      <alignment horizontal="right"/>
    </xf>
    <xf numFmtId="0" fontId="1" fillId="30" borderId="0" xfId="0" applyFont="1" applyFill="1" applyAlignment="1">
      <alignment horizontal="left"/>
    </xf>
    <xf numFmtId="0" fontId="30" fillId="30" borderId="0" xfId="0" applyFont="1" applyFill="1"/>
    <xf numFmtId="0" fontId="48" fillId="30" borderId="0" xfId="0" applyFont="1" applyFill="1"/>
    <xf numFmtId="0" fontId="48" fillId="30" borderId="0" xfId="0" applyFont="1" applyFill="1" applyAlignment="1">
      <alignment horizontal="right"/>
    </xf>
    <xf numFmtId="0" fontId="48" fillId="30" borderId="0" xfId="0" applyFont="1" applyFill="1" applyAlignment="1">
      <alignment wrapText="1"/>
    </xf>
    <xf numFmtId="14" fontId="117" fillId="0" borderId="1" xfId="0" applyNumberFormat="1" applyFont="1" applyBorder="1" applyAlignment="1">
      <alignment horizontal="center"/>
    </xf>
    <xf numFmtId="0" fontId="117" fillId="0" borderId="1" xfId="0" applyFont="1" applyBorder="1" applyAlignment="1">
      <alignment horizontal="center" wrapText="1"/>
    </xf>
    <xf numFmtId="49" fontId="117" fillId="0" borderId="1" xfId="0" applyNumberFormat="1" applyFont="1" applyBorder="1" applyAlignment="1">
      <alignment horizontal="left" wrapText="1"/>
    </xf>
    <xf numFmtId="0" fontId="117" fillId="0" borderId="1" xfId="0" applyFont="1" applyBorder="1" applyAlignment="1">
      <alignment horizontal="left" vertical="center" wrapText="1"/>
    </xf>
    <xf numFmtId="0" fontId="117" fillId="0" borderId="1" xfId="0" applyFont="1" applyBorder="1" applyAlignment="1">
      <alignment horizontal="left" vertical="top" wrapText="1"/>
    </xf>
    <xf numFmtId="1" fontId="17" fillId="0" borderId="0" xfId="0" applyNumberFormat="1" applyFont="1" applyAlignment="1">
      <alignment horizontal="center"/>
    </xf>
    <xf numFmtId="0" fontId="68" fillId="27" borderId="66" xfId="0" applyFont="1" applyFill="1" applyBorder="1"/>
    <xf numFmtId="0" fontId="1" fillId="27" borderId="67" xfId="0" applyFont="1" applyFill="1" applyBorder="1"/>
    <xf numFmtId="0" fontId="1" fillId="27" borderId="68" xfId="0" applyFont="1" applyFill="1" applyBorder="1"/>
    <xf numFmtId="0" fontId="0" fillId="27" borderId="69" xfId="0" applyFill="1" applyBorder="1"/>
    <xf numFmtId="0" fontId="0" fillId="27" borderId="70" xfId="0" applyFill="1" applyBorder="1"/>
    <xf numFmtId="0" fontId="68" fillId="27" borderId="71" xfId="0" applyFont="1" applyFill="1" applyBorder="1"/>
    <xf numFmtId="0" fontId="0" fillId="27" borderId="72" xfId="0" applyFill="1" applyBorder="1"/>
    <xf numFmtId="0" fontId="0" fillId="27" borderId="73" xfId="0" applyFill="1" applyBorder="1"/>
    <xf numFmtId="0" fontId="0" fillId="27" borderId="66" xfId="0" applyFill="1" applyBorder="1"/>
    <xf numFmtId="0" fontId="0" fillId="27" borderId="67" xfId="0" applyFill="1" applyBorder="1"/>
    <xf numFmtId="0" fontId="0" fillId="27" borderId="68" xfId="0" applyFill="1" applyBorder="1"/>
    <xf numFmtId="0" fontId="16" fillId="27" borderId="69" xfId="0" applyFont="1" applyFill="1" applyBorder="1"/>
    <xf numFmtId="0" fontId="1" fillId="27" borderId="70" xfId="0" applyFont="1" applyFill="1" applyBorder="1"/>
    <xf numFmtId="0" fontId="1" fillId="27" borderId="69" xfId="0" applyFont="1" applyFill="1" applyBorder="1"/>
    <xf numFmtId="0" fontId="1" fillId="27" borderId="71" xfId="0" applyFont="1" applyFill="1" applyBorder="1"/>
    <xf numFmtId="0" fontId="1" fillId="27" borderId="72" xfId="0" applyFont="1" applyFill="1" applyBorder="1"/>
    <xf numFmtId="0" fontId="1" fillId="27" borderId="73" xfId="0" applyFont="1" applyFill="1" applyBorder="1"/>
    <xf numFmtId="0" fontId="121" fillId="0" borderId="0" xfId="0" applyFont="1"/>
    <xf numFmtId="0" fontId="122" fillId="0" borderId="0" xfId="0" applyFont="1" applyAlignment="1">
      <alignment horizontal="center"/>
    </xf>
    <xf numFmtId="0" fontId="122" fillId="0" borderId="0" xfId="0" applyFont="1" applyAlignment="1">
      <alignment horizontal="right"/>
    </xf>
    <xf numFmtId="0" fontId="30" fillId="0" borderId="81" xfId="0" applyFont="1" applyBorder="1"/>
    <xf numFmtId="0" fontId="30" fillId="0" borderId="83" xfId="0" applyFont="1" applyBorder="1"/>
    <xf numFmtId="0" fontId="30" fillId="0" borderId="63" xfId="0" applyFont="1" applyBorder="1"/>
    <xf numFmtId="0" fontId="30" fillId="0" borderId="65" xfId="0" applyFont="1" applyBorder="1"/>
    <xf numFmtId="0" fontId="17" fillId="30" borderId="80" xfId="0" applyFont="1" applyFill="1" applyBorder="1"/>
    <xf numFmtId="0" fontId="17" fillId="30" borderId="81" xfId="0" applyFont="1" applyFill="1" applyBorder="1"/>
    <xf numFmtId="0" fontId="17" fillId="30" borderId="82" xfId="0" applyFont="1" applyFill="1" applyBorder="1"/>
    <xf numFmtId="0" fontId="17" fillId="30" borderId="83" xfId="0" applyFont="1" applyFill="1" applyBorder="1"/>
    <xf numFmtId="0" fontId="17" fillId="30" borderId="61" xfId="0" applyFont="1" applyFill="1" applyBorder="1"/>
    <xf numFmtId="0" fontId="17" fillId="30" borderId="62" xfId="0" applyFont="1" applyFill="1" applyBorder="1"/>
    <xf numFmtId="0" fontId="17" fillId="30" borderId="63" xfId="0" applyFont="1" applyFill="1" applyBorder="1"/>
    <xf numFmtId="0" fontId="17" fillId="30" borderId="65" xfId="0" applyFont="1" applyFill="1" applyBorder="1"/>
    <xf numFmtId="0" fontId="43" fillId="0" borderId="81" xfId="0" applyFont="1" applyBorder="1" applyAlignment="1">
      <alignment vertical="center" wrapText="1"/>
    </xf>
    <xf numFmtId="0" fontId="46" fillId="0" borderId="82" xfId="0" applyFont="1" applyBorder="1" applyAlignment="1">
      <alignment vertical="top"/>
    </xf>
    <xf numFmtId="0" fontId="0" fillId="0" borderId="82" xfId="0" applyBorder="1"/>
    <xf numFmtId="0" fontId="46" fillId="0" borderId="83" xfId="0" applyFont="1" applyBorder="1" applyAlignment="1">
      <alignment vertical="top"/>
    </xf>
    <xf numFmtId="0" fontId="43" fillId="0" borderId="61" xfId="0" applyFont="1" applyBorder="1" applyAlignment="1">
      <alignment vertical="center" wrapText="1"/>
    </xf>
    <xf numFmtId="169" fontId="30" fillId="0" borderId="0" xfId="0" applyNumberFormat="1" applyFont="1" applyAlignment="1">
      <alignment vertical="top"/>
    </xf>
    <xf numFmtId="166" fontId="30" fillId="0" borderId="0" xfId="0" applyNumberFormat="1" applyFont="1" applyAlignment="1">
      <alignment vertical="top"/>
    </xf>
    <xf numFmtId="0" fontId="30" fillId="0" borderId="62" xfId="0" applyFont="1" applyBorder="1" applyAlignment="1">
      <alignment vertical="top"/>
    </xf>
    <xf numFmtId="169" fontId="46" fillId="0" borderId="0" xfId="0" applyNumberFormat="1" applyFont="1" applyAlignment="1">
      <alignment vertical="top"/>
    </xf>
    <xf numFmtId="166" fontId="46" fillId="0" borderId="0" xfId="0" applyNumberFormat="1" applyFont="1" applyAlignment="1">
      <alignment vertical="top"/>
    </xf>
    <xf numFmtId="0" fontId="46" fillId="0" borderId="62" xfId="0" applyFont="1" applyBorder="1" applyAlignment="1">
      <alignment vertical="top"/>
    </xf>
    <xf numFmtId="0" fontId="43" fillId="0" borderId="63" xfId="0" applyFont="1" applyBorder="1" applyAlignment="1">
      <alignment vertical="center" wrapText="1"/>
    </xf>
    <xf numFmtId="0" fontId="46" fillId="0" borderId="65" xfId="0" applyFont="1" applyBorder="1" applyAlignment="1">
      <alignment horizontal="left" vertical="top"/>
    </xf>
    <xf numFmtId="0" fontId="124" fillId="30" borderId="81" xfId="0" applyFont="1" applyFill="1" applyBorder="1" applyAlignment="1">
      <alignment vertical="center" wrapText="1"/>
    </xf>
    <xf numFmtId="0" fontId="124" fillId="30" borderId="61" xfId="0" applyFont="1" applyFill="1" applyBorder="1" applyAlignment="1">
      <alignment vertical="center" wrapText="1"/>
    </xf>
    <xf numFmtId="0" fontId="46" fillId="0" borderId="64" xfId="0" applyFont="1" applyBorder="1" applyAlignment="1">
      <alignment vertical="top"/>
    </xf>
    <xf numFmtId="169" fontId="46" fillId="0" borderId="64" xfId="0" applyNumberFormat="1" applyFont="1" applyBorder="1" applyAlignment="1">
      <alignment vertical="top"/>
    </xf>
    <xf numFmtId="0" fontId="0" fillId="0" borderId="64" xfId="0" applyBorder="1"/>
    <xf numFmtId="166" fontId="46" fillId="0" borderId="64" xfId="0" applyNumberFormat="1" applyFont="1" applyBorder="1" applyAlignment="1">
      <alignment vertical="top"/>
    </xf>
    <xf numFmtId="0" fontId="43" fillId="0" borderId="82" xfId="0" applyFont="1" applyBorder="1" applyAlignment="1">
      <alignment vertical="center" wrapText="1"/>
    </xf>
    <xf numFmtId="0" fontId="46" fillId="0" borderId="82" xfId="0" applyFont="1" applyBorder="1" applyAlignment="1">
      <alignment horizontal="left" vertical="top"/>
    </xf>
    <xf numFmtId="0" fontId="17" fillId="36" borderId="0" xfId="0" applyFont="1" applyFill="1"/>
    <xf numFmtId="2" fontId="0" fillId="26" borderId="0" xfId="0" applyNumberFormat="1" applyFill="1"/>
    <xf numFmtId="0" fontId="17" fillId="0" borderId="72" xfId="0" applyFont="1" applyBorder="1"/>
    <xf numFmtId="0" fontId="30" fillId="0" borderId="61" xfId="0" applyFont="1" applyBorder="1"/>
    <xf numFmtId="0" fontId="30" fillId="0" borderId="62" xfId="0" applyFont="1" applyBorder="1"/>
    <xf numFmtId="0" fontId="0" fillId="0" borderId="69" xfId="0" applyBorder="1"/>
    <xf numFmtId="0" fontId="0" fillId="0" borderId="70" xfId="0" applyBorder="1"/>
    <xf numFmtId="0" fontId="1" fillId="0" borderId="0" xfId="0" quotePrefix="1" applyFont="1" applyAlignment="1">
      <alignment horizontal="right"/>
    </xf>
    <xf numFmtId="0" fontId="1" fillId="0" borderId="0" xfId="0" applyFont="1"/>
    <xf numFmtId="0" fontId="1" fillId="0" borderId="70" xfId="0" applyFont="1" applyBorder="1" applyAlignment="1">
      <alignment vertical="top" wrapText="1"/>
    </xf>
    <xf numFmtId="0" fontId="0" fillId="0" borderId="0" xfId="0" applyAlignment="1">
      <alignment horizontal="right"/>
    </xf>
    <xf numFmtId="0" fontId="1" fillId="0" borderId="0" xfId="0" applyFont="1" applyAlignment="1">
      <alignment horizontal="right" vertical="top" wrapText="1"/>
    </xf>
    <xf numFmtId="176" fontId="17" fillId="0" borderId="0" xfId="0" applyNumberFormat="1" applyFont="1" applyAlignment="1">
      <alignment horizontal="left"/>
    </xf>
    <xf numFmtId="0" fontId="17" fillId="0" borderId="0" xfId="0" applyFont="1" applyAlignment="1">
      <alignment horizontal="right"/>
    </xf>
    <xf numFmtId="0" fontId="1" fillId="0" borderId="69" xfId="0" applyFont="1" applyBorder="1" applyAlignment="1">
      <alignment vertical="top" wrapText="1"/>
    </xf>
    <xf numFmtId="176" fontId="17" fillId="0" borderId="70" xfId="0" applyNumberFormat="1" applyFont="1" applyBorder="1" applyAlignment="1">
      <alignment horizontal="left"/>
    </xf>
    <xf numFmtId="0" fontId="0" fillId="0" borderId="71" xfId="0" applyBorder="1"/>
    <xf numFmtId="0" fontId="0" fillId="0" borderId="72" xfId="0" applyBorder="1"/>
    <xf numFmtId="0" fontId="17" fillId="0" borderId="72" xfId="0" applyFont="1" applyBorder="1" applyAlignment="1">
      <alignment horizontal="left"/>
    </xf>
    <xf numFmtId="0" fontId="5" fillId="0" borderId="72" xfId="0" applyFont="1" applyBorder="1" applyAlignment="1">
      <alignment horizontal="left"/>
    </xf>
    <xf numFmtId="176" fontId="17" fillId="0" borderId="72" xfId="0" applyNumberFormat="1" applyFont="1" applyBorder="1" applyAlignment="1">
      <alignment horizontal="left"/>
    </xf>
    <xf numFmtId="176" fontId="17" fillId="0" borderId="73" xfId="0" applyNumberFormat="1" applyFont="1" applyBorder="1" applyAlignment="1">
      <alignment horizontal="left"/>
    </xf>
    <xf numFmtId="0" fontId="17" fillId="0" borderId="0" xfId="0" applyFont="1" applyAlignment="1">
      <alignment wrapText="1"/>
    </xf>
    <xf numFmtId="0" fontId="32" fillId="0" borderId="84" xfId="5" applyBorder="1"/>
    <xf numFmtId="49" fontId="127" fillId="0" borderId="0" xfId="0" applyNumberFormat="1" applyFont="1"/>
    <xf numFmtId="0" fontId="127" fillId="0" borderId="0" xfId="0" applyFont="1"/>
    <xf numFmtId="0" fontId="69" fillId="0" borderId="0" xfId="7"/>
    <xf numFmtId="0" fontId="129" fillId="0" borderId="0" xfId="0" applyFont="1"/>
    <xf numFmtId="0" fontId="130" fillId="0" borderId="0" xfId="5" applyFont="1" applyAlignment="1">
      <alignment wrapText="1"/>
    </xf>
    <xf numFmtId="0" fontId="1" fillId="0" borderId="10" xfId="0" applyFont="1" applyBorder="1" applyAlignment="1" applyProtection="1">
      <alignment horizontal="center"/>
      <protection locked="0"/>
    </xf>
    <xf numFmtId="0" fontId="16" fillId="36" borderId="0" xfId="0" applyFont="1" applyFill="1" applyAlignment="1">
      <alignment horizontal="left" vertical="top"/>
    </xf>
    <xf numFmtId="0" fontId="17" fillId="36" borderId="0" xfId="0" applyFont="1" applyFill="1" applyAlignment="1">
      <alignment horizontal="left" vertical="top"/>
    </xf>
    <xf numFmtId="0" fontId="120" fillId="4" borderId="61" xfId="0" applyFont="1" applyFill="1" applyBorder="1" applyAlignment="1">
      <alignment vertical="center"/>
    </xf>
    <xf numFmtId="0" fontId="120" fillId="4" borderId="62" xfId="0" applyFont="1" applyFill="1" applyBorder="1" applyAlignment="1">
      <alignment vertical="center"/>
    </xf>
    <xf numFmtId="0" fontId="132" fillId="4" borderId="63" xfId="0" applyFont="1" applyFill="1" applyBorder="1"/>
    <xf numFmtId="0" fontId="132" fillId="4" borderId="64" xfId="0" applyFont="1" applyFill="1" applyBorder="1"/>
    <xf numFmtId="0" fontId="132" fillId="4" borderId="64" xfId="0" applyFont="1" applyFill="1" applyBorder="1" applyAlignment="1">
      <alignment vertical="center"/>
    </xf>
    <xf numFmtId="2" fontId="131" fillId="4" borderId="65" xfId="0" applyNumberFormat="1" applyFont="1" applyFill="1" applyBorder="1"/>
    <xf numFmtId="0" fontId="0" fillId="0" borderId="61" xfId="0" applyBorder="1"/>
    <xf numFmtId="0" fontId="55" fillId="0" borderId="0" xfId="0" applyFont="1" applyAlignment="1">
      <alignment vertical="center"/>
    </xf>
    <xf numFmtId="0" fontId="114" fillId="0" borderId="0" xfId="0" applyFont="1" applyAlignment="1">
      <alignment horizontal="right" vertical="center"/>
    </xf>
    <xf numFmtId="0" fontId="55" fillId="0" borderId="62" xfId="0" applyFont="1" applyBorder="1" applyAlignment="1">
      <alignment vertical="center"/>
    </xf>
    <xf numFmtId="0" fontId="55" fillId="0" borderId="61" xfId="0" applyFont="1" applyBorder="1" applyAlignment="1">
      <alignment vertical="center"/>
    </xf>
    <xf numFmtId="0" fontId="113" fillId="0" borderId="0" xfId="0" applyFont="1" applyAlignment="1">
      <alignment vertical="center"/>
    </xf>
    <xf numFmtId="0" fontId="119" fillId="0" borderId="0" xfId="0" applyFont="1" applyAlignment="1">
      <alignment horizontal="center" vertical="center"/>
    </xf>
    <xf numFmtId="0" fontId="0" fillId="0" borderId="62" xfId="0" applyBorder="1"/>
    <xf numFmtId="0" fontId="112" fillId="0" borderId="0" xfId="0" applyFont="1" applyAlignment="1">
      <alignment vertical="center" wrapText="1"/>
    </xf>
    <xf numFmtId="0" fontId="120" fillId="4" borderId="0" xfId="0" applyFont="1" applyFill="1" applyAlignment="1">
      <alignment vertical="center"/>
    </xf>
    <xf numFmtId="0" fontId="1" fillId="0" borderId="61" xfId="0" applyFont="1" applyBorder="1" applyAlignment="1">
      <alignment horizontal="center" vertical="center"/>
    </xf>
    <xf numFmtId="0" fontId="50" fillId="0" borderId="0" xfId="0" applyFont="1" applyAlignment="1">
      <alignment horizontal="center"/>
    </xf>
    <xf numFmtId="0" fontId="47" fillId="36" borderId="0" xfId="0" applyFont="1" applyFill="1" applyAlignment="1">
      <alignment vertical="center" wrapText="1"/>
    </xf>
    <xf numFmtId="0" fontId="47" fillId="36" borderId="0" xfId="0" applyFont="1" applyFill="1" applyAlignment="1">
      <alignment horizontal="left" vertical="center" wrapText="1"/>
    </xf>
    <xf numFmtId="0" fontId="29" fillId="0" borderId="0" xfId="0" applyFont="1" applyAlignment="1">
      <alignment vertical="top" wrapText="1"/>
    </xf>
    <xf numFmtId="0" fontId="52" fillId="0" borderId="0" xfId="0" applyFont="1" applyAlignment="1">
      <alignment horizontal="left" vertical="center" wrapText="1"/>
    </xf>
    <xf numFmtId="0" fontId="17" fillId="0" borderId="0" xfId="0" applyFont="1" applyAlignment="1">
      <alignment horizontal="left" vertical="top" wrapText="1"/>
    </xf>
    <xf numFmtId="0" fontId="46" fillId="0" borderId="0" xfId="0" applyFont="1" applyAlignment="1">
      <alignment vertical="center" wrapText="1"/>
    </xf>
    <xf numFmtId="0" fontId="7" fillId="0" borderId="0" xfId="0" applyFont="1"/>
    <xf numFmtId="0" fontId="0" fillId="0" borderId="0" xfId="0" applyAlignment="1">
      <alignment horizontal="center"/>
    </xf>
    <xf numFmtId="0" fontId="0" fillId="30" borderId="61" xfId="0" applyFill="1" applyBorder="1"/>
    <xf numFmtId="0" fontId="0" fillId="30" borderId="62" xfId="0" applyFill="1" applyBorder="1"/>
    <xf numFmtId="0" fontId="116" fillId="30" borderId="62" xfId="0" applyFont="1" applyFill="1" applyBorder="1" applyAlignment="1">
      <alignment horizontal="right"/>
    </xf>
    <xf numFmtId="0" fontId="1" fillId="0" borderId="0" xfId="0" applyFont="1" applyAlignment="1" applyProtection="1">
      <alignment horizontal="center" wrapText="1"/>
      <protection locked="0"/>
    </xf>
    <xf numFmtId="3" fontId="1" fillId="0" borderId="0" xfId="0" applyNumberFormat="1" applyFont="1" applyAlignment="1" applyProtection="1">
      <alignment horizontal="center"/>
      <protection locked="0"/>
    </xf>
    <xf numFmtId="166" fontId="1" fillId="0" borderId="0" xfId="0" applyNumberFormat="1" applyFont="1" applyAlignment="1" applyProtection="1">
      <alignment horizontal="center"/>
      <protection locked="0"/>
    </xf>
    <xf numFmtId="166" fontId="2" fillId="0" borderId="0" xfId="0" applyNumberFormat="1" applyFont="1" applyAlignment="1">
      <alignment horizontal="center" shrinkToFit="1"/>
    </xf>
    <xf numFmtId="171" fontId="2" fillId="0" borderId="0" xfId="0" applyNumberFormat="1" applyFont="1" applyAlignment="1">
      <alignment horizontal="center" shrinkToFit="1"/>
    </xf>
    <xf numFmtId="2" fontId="17" fillId="0" borderId="0" xfId="0" applyNumberFormat="1" applyFont="1" applyAlignment="1">
      <alignment horizontal="center" wrapText="1" shrinkToFit="1"/>
    </xf>
    <xf numFmtId="2" fontId="2" fillId="0" borderId="0" xfId="0" applyNumberFormat="1" applyFont="1" applyAlignment="1">
      <alignment horizontal="center" shrinkToFit="1"/>
    </xf>
    <xf numFmtId="0" fontId="1" fillId="0" borderId="67" xfId="0" applyFont="1" applyBorder="1" applyAlignment="1" applyProtection="1">
      <alignment horizontal="center" wrapText="1"/>
      <protection locked="0"/>
    </xf>
    <xf numFmtId="3" fontId="1" fillId="0" borderId="67" xfId="0" applyNumberFormat="1" applyFont="1" applyBorder="1" applyAlignment="1" applyProtection="1">
      <alignment horizontal="center"/>
      <protection locked="0"/>
    </xf>
    <xf numFmtId="166" fontId="1" fillId="0" borderId="67" xfId="0" applyNumberFormat="1" applyFont="1" applyBorder="1" applyAlignment="1" applyProtection="1">
      <alignment horizontal="center"/>
      <protection locked="0"/>
    </xf>
    <xf numFmtId="0" fontId="0" fillId="0" borderId="67" xfId="0" applyBorder="1"/>
    <xf numFmtId="0" fontId="136" fillId="0" borderId="0" xfId="0" applyFont="1" applyAlignment="1">
      <alignment vertical="center" wrapText="1"/>
    </xf>
    <xf numFmtId="0" fontId="1" fillId="0" borderId="0" xfId="0" quotePrefix="1" applyFont="1" applyAlignment="1">
      <alignment horizontal="left"/>
    </xf>
    <xf numFmtId="0" fontId="138" fillId="0" borderId="0" xfId="0" applyFont="1" applyAlignment="1">
      <alignment horizontal="left"/>
    </xf>
    <xf numFmtId="0" fontId="36" fillId="0" borderId="1" xfId="0" applyFont="1" applyBorder="1" applyAlignment="1">
      <alignment horizontal="left" vertical="top" wrapText="1"/>
    </xf>
    <xf numFmtId="0" fontId="0" fillId="10" borderId="0" xfId="0" applyFill="1"/>
    <xf numFmtId="0" fontId="0" fillId="30" borderId="98" xfId="0" applyFill="1" applyBorder="1"/>
    <xf numFmtId="49" fontId="139" fillId="0" borderId="0" xfId="0" applyNumberFormat="1" applyFont="1"/>
    <xf numFmtId="0" fontId="139" fillId="0" borderId="0" xfId="0" applyFont="1"/>
    <xf numFmtId="0" fontId="1" fillId="0" borderId="0" xfId="0" applyFont="1" applyAlignment="1">
      <alignment horizontal="left"/>
    </xf>
    <xf numFmtId="180" fontId="1" fillId="0" borderId="0" xfId="0" applyNumberFormat="1" applyFont="1"/>
    <xf numFmtId="0" fontId="141" fillId="24" borderId="15" xfId="5" applyFont="1" applyFill="1" applyBorder="1" applyAlignment="1">
      <alignment wrapText="1"/>
    </xf>
    <xf numFmtId="0" fontId="140" fillId="0" borderId="0" xfId="5" applyFont="1"/>
    <xf numFmtId="0" fontId="141" fillId="0" borderId="0" xfId="5" applyFont="1" applyAlignment="1">
      <alignment wrapText="1"/>
    </xf>
    <xf numFmtId="0" fontId="142" fillId="0" borderId="0" xfId="5" applyFont="1"/>
    <xf numFmtId="0" fontId="0" fillId="0" borderId="0" xfId="0" quotePrefix="1" applyAlignment="1">
      <alignment wrapText="1"/>
    </xf>
    <xf numFmtId="0" fontId="1" fillId="0" borderId="0" xfId="0" applyFont="1" applyAlignment="1" applyProtection="1">
      <alignment horizontal="left"/>
      <protection locked="0"/>
    </xf>
    <xf numFmtId="0" fontId="1" fillId="0" borderId="0" xfId="0" applyFont="1" applyAlignment="1" applyProtection="1">
      <alignment horizontal="left" vertical="top" wrapText="1"/>
      <protection locked="0"/>
    </xf>
    <xf numFmtId="0" fontId="143" fillId="0" borderId="0" xfId="0" applyFont="1" applyAlignment="1">
      <alignment horizontal="center" vertical="center"/>
    </xf>
    <xf numFmtId="0" fontId="34" fillId="0" borderId="0" xfId="0" applyFont="1" applyAlignment="1">
      <alignment horizontal="center" vertical="center"/>
    </xf>
    <xf numFmtId="0" fontId="94" fillId="0" borderId="0" xfId="0" applyFont="1" applyAlignment="1">
      <alignment horizontal="center" vertical="center" wrapText="1"/>
    </xf>
    <xf numFmtId="0" fontId="48" fillId="18" borderId="0" xfId="0" applyFont="1" applyFill="1" applyAlignment="1">
      <alignment horizontal="center" vertical="center"/>
    </xf>
    <xf numFmtId="0" fontId="48" fillId="18" borderId="0" xfId="0" applyFont="1" applyFill="1" applyAlignment="1">
      <alignment horizontal="center" wrapText="1"/>
    </xf>
    <xf numFmtId="0" fontId="94" fillId="0" borderId="0" xfId="0" applyFont="1" applyAlignment="1">
      <alignment horizontal="center" vertical="center"/>
    </xf>
    <xf numFmtId="0" fontId="94" fillId="0" borderId="0" xfId="0" applyFont="1" applyAlignment="1">
      <alignment horizontal="center"/>
    </xf>
    <xf numFmtId="2" fontId="94" fillId="0" borderId="0" xfId="0" applyNumberFormat="1" applyFont="1" applyAlignment="1">
      <alignment horizontal="center" vertical="center"/>
    </xf>
    <xf numFmtId="175" fontId="51" fillId="0" borderId="0" xfId="0" applyNumberFormat="1" applyFont="1" applyAlignment="1">
      <alignment horizontal="center" vertical="center" wrapText="1"/>
    </xf>
    <xf numFmtId="0" fontId="83" fillId="0" borderId="51" xfId="0" applyFont="1" applyBorder="1" applyAlignment="1">
      <alignment horizontal="right" vertical="center" indent="1"/>
    </xf>
    <xf numFmtId="0" fontId="83" fillId="0" borderId="0" xfId="0" applyFont="1" applyAlignment="1">
      <alignment horizontal="right" vertical="center" indent="1"/>
    </xf>
    <xf numFmtId="178" fontId="58" fillId="18" borderId="20" xfId="0" applyNumberFormat="1" applyFont="1" applyFill="1" applyBorder="1" applyAlignment="1">
      <alignment horizontal="center" vertical="center"/>
    </xf>
    <xf numFmtId="178" fontId="92" fillId="30" borderId="20" xfId="0" applyNumberFormat="1" applyFont="1" applyFill="1" applyBorder="1" applyAlignment="1">
      <alignment horizontal="center" vertical="center"/>
    </xf>
    <xf numFmtId="0" fontId="86" fillId="0" borderId="49" xfId="0" applyFont="1" applyBorder="1" applyAlignment="1">
      <alignment horizontal="left"/>
    </xf>
    <xf numFmtId="0" fontId="86" fillId="0" borderId="0" xfId="0" applyFont="1" applyAlignment="1">
      <alignment horizontal="left"/>
    </xf>
    <xf numFmtId="0" fontId="93" fillId="0" borderId="0" xfId="0" applyFont="1" applyAlignment="1">
      <alignment horizontal="center"/>
    </xf>
    <xf numFmtId="169" fontId="47" fillId="0" borderId="0" xfId="0" applyNumberFormat="1" applyFont="1" applyAlignment="1">
      <alignment horizontal="center" vertical="top"/>
    </xf>
    <xf numFmtId="0" fontId="72" fillId="0" borderId="0" xfId="0" applyFont="1" applyAlignment="1">
      <alignment horizontal="center" vertical="center"/>
    </xf>
    <xf numFmtId="175" fontId="72" fillId="0" borderId="0" xfId="0" applyNumberFormat="1" applyFont="1" applyAlignment="1">
      <alignment horizontal="center"/>
    </xf>
    <xf numFmtId="0" fontId="71" fillId="0" borderId="0" xfId="0" applyFont="1" applyAlignment="1">
      <alignment horizontal="center" vertical="top"/>
    </xf>
    <xf numFmtId="0" fontId="83" fillId="0" borderId="50" xfId="0" applyFont="1" applyBorder="1" applyAlignment="1">
      <alignment horizontal="right" vertical="center" indent="1"/>
    </xf>
    <xf numFmtId="166" fontId="58" fillId="18" borderId="20" xfId="0" applyNumberFormat="1" applyFont="1" applyFill="1" applyBorder="1" applyAlignment="1">
      <alignment horizontal="center" vertical="center"/>
    </xf>
    <xf numFmtId="166" fontId="92" fillId="30" borderId="20" xfId="0" applyNumberFormat="1" applyFont="1" applyFill="1" applyBorder="1" applyAlignment="1">
      <alignment horizontal="center" vertical="center"/>
    </xf>
    <xf numFmtId="9" fontId="58" fillId="18" borderId="20" xfId="0" applyNumberFormat="1" applyFont="1" applyFill="1" applyBorder="1" applyAlignment="1">
      <alignment horizontal="center" vertical="center"/>
    </xf>
    <xf numFmtId="9" fontId="92" fillId="30" borderId="20" xfId="0" applyNumberFormat="1" applyFont="1" applyFill="1" applyBorder="1" applyAlignment="1">
      <alignment horizontal="center" vertical="center"/>
    </xf>
    <xf numFmtId="0" fontId="58" fillId="18" borderId="20" xfId="0" applyFont="1" applyFill="1" applyBorder="1" applyAlignment="1">
      <alignment horizontal="center" vertical="center"/>
    </xf>
    <xf numFmtId="0" fontId="92" fillId="30" borderId="20" xfId="0" applyFont="1" applyFill="1" applyBorder="1" applyAlignment="1">
      <alignment horizontal="center" vertical="center"/>
    </xf>
    <xf numFmtId="165" fontId="17" fillId="0" borderId="0" xfId="0" applyNumberFormat="1" applyFont="1" applyAlignment="1">
      <alignment horizontal="left"/>
    </xf>
    <xf numFmtId="0" fontId="17" fillId="0" borderId="0" xfId="0" applyFont="1" applyAlignment="1">
      <alignment horizontal="left"/>
    </xf>
    <xf numFmtId="170" fontId="17" fillId="0" borderId="0" xfId="0" applyNumberFormat="1" applyFont="1" applyAlignment="1">
      <alignment horizontal="left"/>
    </xf>
    <xf numFmtId="0" fontId="92" fillId="30" borderId="55" xfId="0" applyFont="1" applyFill="1" applyBorder="1" applyAlignment="1">
      <alignment horizontal="left" vertical="center"/>
    </xf>
    <xf numFmtId="0" fontId="92" fillId="30" borderId="56" xfId="0" applyFont="1" applyFill="1" applyBorder="1" applyAlignment="1">
      <alignment horizontal="left" vertical="center"/>
    </xf>
    <xf numFmtId="0" fontId="92" fillId="30" borderId="23" xfId="0" applyFont="1" applyFill="1" applyBorder="1" applyAlignment="1">
      <alignment horizontal="left" vertical="center"/>
    </xf>
    <xf numFmtId="0" fontId="92" fillId="30" borderId="20" xfId="0" applyFont="1" applyFill="1" applyBorder="1" applyAlignment="1">
      <alignment horizontal="left" vertical="center"/>
    </xf>
    <xf numFmtId="166" fontId="92" fillId="30" borderId="56" xfId="0" applyNumberFormat="1" applyFont="1" applyFill="1" applyBorder="1" applyAlignment="1">
      <alignment horizontal="center" vertical="center"/>
    </xf>
    <xf numFmtId="0" fontId="92" fillId="30" borderId="56" xfId="0" applyFont="1" applyFill="1" applyBorder="1" applyAlignment="1">
      <alignment horizontal="center" vertical="center"/>
    </xf>
    <xf numFmtId="166" fontId="47" fillId="0" borderId="0" xfId="0" applyNumberFormat="1" applyFont="1" applyAlignment="1">
      <alignment horizontal="center"/>
    </xf>
    <xf numFmtId="0" fontId="87" fillId="0" borderId="0" xfId="0" applyFont="1" applyAlignment="1">
      <alignment horizontal="center" vertical="center"/>
    </xf>
    <xf numFmtId="0" fontId="17" fillId="0" borderId="0" xfId="0" applyFont="1" applyAlignment="1">
      <alignment horizontal="center"/>
    </xf>
    <xf numFmtId="0" fontId="102" fillId="25" borderId="0" xfId="0" applyFont="1" applyFill="1" applyAlignment="1">
      <alignment horizontal="left"/>
    </xf>
    <xf numFmtId="0" fontId="51" fillId="0" borderId="0" xfId="0" applyFont="1" applyAlignment="1">
      <alignment horizontal="right"/>
    </xf>
    <xf numFmtId="0" fontId="12" fillId="0" borderId="0" xfId="0" applyFont="1" applyAlignment="1">
      <alignment horizontal="left"/>
    </xf>
    <xf numFmtId="0" fontId="89" fillId="18" borderId="0" xfId="0" applyFont="1" applyFill="1" applyAlignment="1">
      <alignment horizontal="left" vertical="center"/>
    </xf>
    <xf numFmtId="0" fontId="91" fillId="18" borderId="0" xfId="0" applyFont="1" applyFill="1" applyAlignment="1">
      <alignment horizontal="left" vertical="center"/>
    </xf>
    <xf numFmtId="0" fontId="96" fillId="0" borderId="0" xfId="0" applyFont="1" applyAlignment="1">
      <alignment horizontal="center"/>
    </xf>
    <xf numFmtId="0" fontId="84" fillId="0" borderId="0" xfId="0" applyFont="1" applyAlignment="1">
      <alignment horizontal="center"/>
    </xf>
    <xf numFmtId="0" fontId="55" fillId="0" borderId="0" xfId="0" applyFont="1" applyAlignment="1">
      <alignment horizontal="center"/>
    </xf>
    <xf numFmtId="0" fontId="82" fillId="0" borderId="0" xfId="0" applyFont="1" applyAlignment="1">
      <alignment horizontal="center" vertical="center" wrapText="1"/>
    </xf>
    <xf numFmtId="0" fontId="58" fillId="18" borderId="33" xfId="0" applyFont="1" applyFill="1" applyBorder="1" applyAlignment="1">
      <alignment horizontal="center" vertical="center" wrapText="1"/>
    </xf>
    <xf numFmtId="0" fontId="58" fillId="18" borderId="34" xfId="0" applyFont="1" applyFill="1" applyBorder="1" applyAlignment="1">
      <alignment horizontal="center" vertical="center" wrapText="1"/>
    </xf>
    <xf numFmtId="0" fontId="58" fillId="18" borderId="57" xfId="0" applyFont="1" applyFill="1" applyBorder="1" applyAlignment="1">
      <alignment horizontal="center" vertical="center" wrapText="1"/>
    </xf>
    <xf numFmtId="0" fontId="58" fillId="18" borderId="36" xfId="0" applyFont="1" applyFill="1" applyBorder="1" applyAlignment="1">
      <alignment horizontal="center" vertical="center" wrapText="1"/>
    </xf>
    <xf numFmtId="0" fontId="58" fillId="18" borderId="37" xfId="0" applyFont="1" applyFill="1" applyBorder="1" applyAlignment="1">
      <alignment horizontal="center" vertical="center" wrapText="1"/>
    </xf>
    <xf numFmtId="0" fontId="58" fillId="18" borderId="55" xfId="0" applyFont="1" applyFill="1" applyBorder="1" applyAlignment="1">
      <alignment horizontal="center" vertical="center" wrapText="1"/>
    </xf>
    <xf numFmtId="10" fontId="58" fillId="18" borderId="20" xfId="0" applyNumberFormat="1" applyFont="1" applyFill="1" applyBorder="1" applyAlignment="1">
      <alignment horizontal="center" vertical="center"/>
    </xf>
    <xf numFmtId="166" fontId="57" fillId="4" borderId="38" xfId="0" applyNumberFormat="1" applyFont="1" applyFill="1" applyBorder="1" applyAlignment="1">
      <alignment horizontal="center" vertical="center"/>
    </xf>
    <xf numFmtId="166" fontId="57" fillId="4" borderId="39" xfId="0" applyNumberFormat="1" applyFont="1" applyFill="1" applyBorder="1" applyAlignment="1">
      <alignment horizontal="center" vertical="center"/>
    </xf>
    <xf numFmtId="166" fontId="57" fillId="4" borderId="41" xfId="0" applyNumberFormat="1" applyFont="1" applyFill="1" applyBorder="1" applyAlignment="1">
      <alignment horizontal="center" vertical="center"/>
    </xf>
    <xf numFmtId="166" fontId="57" fillId="4" borderId="42" xfId="0" applyNumberFormat="1" applyFont="1" applyFill="1" applyBorder="1" applyAlignment="1">
      <alignment horizontal="center" vertical="center"/>
    </xf>
    <xf numFmtId="0" fontId="16" fillId="4" borderId="39" xfId="0" applyFont="1" applyFill="1" applyBorder="1" applyAlignment="1">
      <alignment horizontal="center" vertical="center" wrapText="1"/>
    </xf>
    <xf numFmtId="0" fontId="16" fillId="4" borderId="42" xfId="0" applyFont="1" applyFill="1" applyBorder="1" applyAlignment="1">
      <alignment horizontal="center" vertical="center" wrapText="1"/>
    </xf>
    <xf numFmtId="0" fontId="63" fillId="32" borderId="26" xfId="0" applyFont="1" applyFill="1" applyBorder="1" applyAlignment="1">
      <alignment horizontal="center" wrapText="1"/>
    </xf>
    <xf numFmtId="0" fontId="63" fillId="32" borderId="27" xfId="0" applyFont="1" applyFill="1" applyBorder="1" applyAlignment="1">
      <alignment horizontal="center" wrapText="1"/>
    </xf>
    <xf numFmtId="9" fontId="57" fillId="4" borderId="39" xfId="6" applyFont="1" applyFill="1" applyBorder="1" applyAlignment="1" applyProtection="1">
      <alignment horizontal="center" vertical="center"/>
    </xf>
    <xf numFmtId="9" fontId="57" fillId="4" borderId="40" xfId="6" applyFont="1" applyFill="1" applyBorder="1" applyAlignment="1" applyProtection="1">
      <alignment horizontal="center" vertical="center"/>
    </xf>
    <xf numFmtId="9" fontId="57" fillId="4" borderId="42" xfId="6" applyFont="1" applyFill="1" applyBorder="1" applyAlignment="1" applyProtection="1">
      <alignment horizontal="center" vertical="center"/>
    </xf>
    <xf numFmtId="9" fontId="57" fillId="4" borderId="43" xfId="6" applyFont="1" applyFill="1" applyBorder="1" applyAlignment="1" applyProtection="1">
      <alignment horizontal="center" vertical="center"/>
    </xf>
    <xf numFmtId="0" fontId="31" fillId="32" borderId="25" xfId="0" applyFont="1" applyFill="1" applyBorder="1" applyAlignment="1">
      <alignment horizontal="center" wrapText="1"/>
    </xf>
    <xf numFmtId="0" fontId="31" fillId="32" borderId="26" xfId="0" applyFont="1" applyFill="1" applyBorder="1" applyAlignment="1">
      <alignment horizontal="center" wrapText="1"/>
    </xf>
    <xf numFmtId="0" fontId="31" fillId="32" borderId="26" xfId="0" applyFont="1" applyFill="1" applyBorder="1" applyAlignment="1">
      <alignment horizontal="center"/>
    </xf>
    <xf numFmtId="166" fontId="107" fillId="0" borderId="0" xfId="0" applyNumberFormat="1" applyFont="1" applyAlignment="1">
      <alignment horizontal="center" vertical="center"/>
    </xf>
    <xf numFmtId="0" fontId="31" fillId="18" borderId="21" xfId="0" applyFont="1" applyFill="1" applyBorder="1" applyAlignment="1">
      <alignment horizontal="center" vertical="center"/>
    </xf>
    <xf numFmtId="0" fontId="31" fillId="18" borderId="22" xfId="0" applyFont="1" applyFill="1" applyBorder="1" applyAlignment="1">
      <alignment horizontal="center" vertical="center"/>
    </xf>
    <xf numFmtId="0" fontId="31" fillId="18" borderId="23" xfId="0" applyFont="1" applyFill="1" applyBorder="1" applyAlignment="1">
      <alignment horizontal="center" vertical="center"/>
    </xf>
    <xf numFmtId="0" fontId="31" fillId="30" borderId="21" xfId="0" applyFont="1" applyFill="1" applyBorder="1" applyAlignment="1">
      <alignment horizontal="center" vertical="center"/>
    </xf>
    <xf numFmtId="0" fontId="31" fillId="30" borderId="22" xfId="0" applyFont="1" applyFill="1" applyBorder="1" applyAlignment="1">
      <alignment horizontal="center" vertical="center"/>
    </xf>
    <xf numFmtId="0" fontId="31" fillId="30" borderId="23" xfId="0" applyFont="1" applyFill="1" applyBorder="1" applyAlignment="1">
      <alignment horizontal="center" vertical="center"/>
    </xf>
    <xf numFmtId="166" fontId="104" fillId="18" borderId="33" xfId="0" applyNumberFormat="1" applyFont="1" applyFill="1" applyBorder="1" applyAlignment="1">
      <alignment horizontal="center" vertical="center"/>
    </xf>
    <xf numFmtId="166" fontId="104" fillId="18" borderId="34" xfId="0" applyNumberFormat="1" applyFont="1" applyFill="1" applyBorder="1" applyAlignment="1">
      <alignment horizontal="center" vertical="center"/>
    </xf>
    <xf numFmtId="166" fontId="104" fillId="18" borderId="57" xfId="0" applyNumberFormat="1" applyFont="1" applyFill="1" applyBorder="1" applyAlignment="1">
      <alignment horizontal="center" vertical="center"/>
    </xf>
    <xf numFmtId="166" fontId="104" fillId="18" borderId="36" xfId="0" applyNumberFormat="1" applyFont="1" applyFill="1" applyBorder="1" applyAlignment="1">
      <alignment horizontal="center" vertical="center"/>
    </xf>
    <xf numFmtId="166" fontId="104" fillId="18" borderId="37" xfId="0" applyNumberFormat="1" applyFont="1" applyFill="1" applyBorder="1" applyAlignment="1">
      <alignment horizontal="center" vertical="center"/>
    </xf>
    <xf numFmtId="166" fontId="104" fillId="18" borderId="55" xfId="0" applyNumberFormat="1" applyFont="1" applyFill="1" applyBorder="1" applyAlignment="1">
      <alignment horizontal="center" vertical="center"/>
    </xf>
    <xf numFmtId="166" fontId="104" fillId="30" borderId="33" xfId="0" applyNumberFormat="1" applyFont="1" applyFill="1" applyBorder="1" applyAlignment="1">
      <alignment horizontal="center" vertical="center"/>
    </xf>
    <xf numFmtId="166" fontId="104" fillId="30" borderId="34" xfId="0" applyNumberFormat="1" applyFont="1" applyFill="1" applyBorder="1" applyAlignment="1">
      <alignment horizontal="center" vertical="center"/>
    </xf>
    <xf numFmtId="166" fontId="104" fillId="30" borderId="57" xfId="0" applyNumberFormat="1" applyFont="1" applyFill="1" applyBorder="1" applyAlignment="1">
      <alignment horizontal="center" vertical="center"/>
    </xf>
    <xf numFmtId="166" fontId="104" fillId="30" borderId="36" xfId="0" applyNumberFormat="1" applyFont="1" applyFill="1" applyBorder="1" applyAlignment="1">
      <alignment horizontal="center" vertical="center"/>
    </xf>
    <xf numFmtId="166" fontId="104" fillId="30" borderId="37" xfId="0" applyNumberFormat="1" applyFont="1" applyFill="1" applyBorder="1" applyAlignment="1">
      <alignment horizontal="center" vertical="center"/>
    </xf>
    <xf numFmtId="166" fontId="104" fillId="30" borderId="55" xfId="0" applyNumberFormat="1" applyFont="1" applyFill="1" applyBorder="1" applyAlignment="1">
      <alignment horizontal="center" vertical="center"/>
    </xf>
    <xf numFmtId="0" fontId="104" fillId="18" borderId="21" xfId="0" applyFont="1" applyFill="1" applyBorder="1" applyAlignment="1">
      <alignment horizontal="center" vertical="center"/>
    </xf>
    <xf numFmtId="0" fontId="104" fillId="18" borderId="22" xfId="0" applyFont="1" applyFill="1" applyBorder="1" applyAlignment="1">
      <alignment horizontal="center" vertical="center"/>
    </xf>
    <xf numFmtId="0" fontId="104" fillId="18" borderId="23" xfId="0" applyFont="1" applyFill="1" applyBorder="1" applyAlignment="1">
      <alignment horizontal="center" vertical="center"/>
    </xf>
    <xf numFmtId="0" fontId="104" fillId="30" borderId="21" xfId="0" applyFont="1" applyFill="1" applyBorder="1" applyAlignment="1">
      <alignment horizontal="center" vertical="center"/>
    </xf>
    <xf numFmtId="0" fontId="104" fillId="30" borderId="22" xfId="0" applyFont="1" applyFill="1" applyBorder="1" applyAlignment="1">
      <alignment horizontal="center" vertical="center"/>
    </xf>
    <xf numFmtId="0" fontId="104" fillId="30" borderId="23" xfId="0" applyFont="1" applyFill="1" applyBorder="1" applyAlignment="1">
      <alignment horizontal="center" vertical="center"/>
    </xf>
    <xf numFmtId="0" fontId="104" fillId="33" borderId="21" xfId="0" applyFont="1" applyFill="1" applyBorder="1" applyAlignment="1">
      <alignment horizontal="center" vertical="center"/>
    </xf>
    <xf numFmtId="0" fontId="104" fillId="33" borderId="22" xfId="0" applyFont="1" applyFill="1" applyBorder="1" applyAlignment="1">
      <alignment horizontal="center" vertical="center"/>
    </xf>
    <xf numFmtId="0" fontId="104" fillId="33" borderId="23" xfId="0" applyFont="1" applyFill="1" applyBorder="1" applyAlignment="1">
      <alignment horizontal="center" vertical="center"/>
    </xf>
    <xf numFmtId="179" fontId="104" fillId="33" borderId="33" xfId="0" applyNumberFormat="1" applyFont="1" applyFill="1" applyBorder="1" applyAlignment="1" applyProtection="1">
      <alignment horizontal="center" vertical="center"/>
      <protection locked="0"/>
    </xf>
    <xf numFmtId="179" fontId="104" fillId="33" borderId="34" xfId="0" applyNumberFormat="1" applyFont="1" applyFill="1" applyBorder="1" applyAlignment="1" applyProtection="1">
      <alignment horizontal="center" vertical="center"/>
      <protection locked="0"/>
    </xf>
    <xf numFmtId="179" fontId="104" fillId="33" borderId="57" xfId="0" applyNumberFormat="1" applyFont="1" applyFill="1" applyBorder="1" applyAlignment="1" applyProtection="1">
      <alignment horizontal="center" vertical="center"/>
      <protection locked="0"/>
    </xf>
    <xf numFmtId="179" fontId="104" fillId="33" borderId="36" xfId="0" applyNumberFormat="1" applyFont="1" applyFill="1" applyBorder="1" applyAlignment="1" applyProtection="1">
      <alignment horizontal="center" vertical="center"/>
      <protection locked="0"/>
    </xf>
    <xf numFmtId="179" fontId="104" fillId="33" borderId="37" xfId="0" applyNumberFormat="1" applyFont="1" applyFill="1" applyBorder="1" applyAlignment="1" applyProtection="1">
      <alignment horizontal="center" vertical="center"/>
      <protection locked="0"/>
    </xf>
    <xf numFmtId="179" fontId="104" fillId="33" borderId="55" xfId="0" applyNumberFormat="1" applyFont="1" applyFill="1" applyBorder="1" applyAlignment="1" applyProtection="1">
      <alignment horizontal="center" vertical="center"/>
      <protection locked="0"/>
    </xf>
    <xf numFmtId="0" fontId="104" fillId="33" borderId="33" xfId="0" applyFont="1" applyFill="1" applyBorder="1" applyAlignment="1" applyProtection="1">
      <alignment horizontal="center" vertical="center"/>
      <protection locked="0"/>
    </xf>
    <xf numFmtId="0" fontId="104" fillId="33" borderId="34" xfId="0" applyFont="1" applyFill="1" applyBorder="1" applyAlignment="1" applyProtection="1">
      <alignment horizontal="center" vertical="center"/>
      <protection locked="0"/>
    </xf>
    <xf numFmtId="0" fontId="104" fillId="33" borderId="57" xfId="0" applyFont="1" applyFill="1" applyBorder="1" applyAlignment="1" applyProtection="1">
      <alignment horizontal="center" vertical="center"/>
      <protection locked="0"/>
    </xf>
    <xf numFmtId="0" fontId="104" fillId="33" borderId="36" xfId="0" applyFont="1" applyFill="1" applyBorder="1" applyAlignment="1" applyProtection="1">
      <alignment horizontal="center" vertical="center"/>
      <protection locked="0"/>
    </xf>
    <xf numFmtId="0" fontId="104" fillId="33" borderId="37" xfId="0" applyFont="1" applyFill="1" applyBorder="1" applyAlignment="1" applyProtection="1">
      <alignment horizontal="center" vertical="center"/>
      <protection locked="0"/>
    </xf>
    <xf numFmtId="0" fontId="104" fillId="33" borderId="55" xfId="0" applyFont="1" applyFill="1" applyBorder="1" applyAlignment="1" applyProtection="1">
      <alignment horizontal="center" vertical="center"/>
      <protection locked="0"/>
    </xf>
    <xf numFmtId="0" fontId="16" fillId="0" borderId="0" xfId="0" applyFont="1" applyAlignment="1">
      <alignment horizontal="center"/>
    </xf>
    <xf numFmtId="0" fontId="17" fillId="0" borderId="31" xfId="0" applyFont="1" applyBorder="1" applyAlignment="1">
      <alignment horizontal="center" vertical="top"/>
    </xf>
    <xf numFmtId="0" fontId="78" fillId="0" borderId="28" xfId="0" applyFont="1" applyBorder="1" applyAlignment="1">
      <alignment horizontal="center" vertical="center" wrapText="1"/>
    </xf>
    <xf numFmtId="0" fontId="78" fillId="0" borderId="0" xfId="0" applyFont="1" applyAlignment="1">
      <alignment horizontal="center" vertical="center" wrapText="1"/>
    </xf>
    <xf numFmtId="0" fontId="78" fillId="0" borderId="29" xfId="0" applyFont="1" applyBorder="1" applyAlignment="1">
      <alignment horizontal="center" vertical="center" wrapText="1"/>
    </xf>
    <xf numFmtId="0" fontId="78" fillId="0" borderId="30" xfId="0" applyFont="1" applyBorder="1" applyAlignment="1">
      <alignment horizontal="center" vertical="center" wrapText="1"/>
    </xf>
    <xf numFmtId="0" fontId="78" fillId="0" borderId="31" xfId="0" applyFont="1" applyBorder="1" applyAlignment="1">
      <alignment horizontal="center" vertical="center" wrapText="1"/>
    </xf>
    <xf numFmtId="0" fontId="78" fillId="0" borderId="32" xfId="0" applyFont="1" applyBorder="1" applyAlignment="1">
      <alignment horizontal="center" vertical="center" wrapText="1"/>
    </xf>
    <xf numFmtId="0" fontId="17" fillId="0" borderId="0" xfId="0" applyFont="1" applyAlignment="1">
      <alignment horizontal="left" vertical="top" wrapText="1"/>
    </xf>
    <xf numFmtId="0" fontId="17" fillId="0" borderId="29" xfId="0" applyFont="1" applyBorder="1" applyAlignment="1">
      <alignment horizontal="left" vertical="top" wrapText="1"/>
    </xf>
    <xf numFmtId="0" fontId="82" fillId="0" borderId="0" xfId="0" applyFont="1" applyAlignment="1">
      <alignment horizontal="center" vertical="center"/>
    </xf>
    <xf numFmtId="0" fontId="11" fillId="0" borderId="0" xfId="0" applyFont="1" applyAlignment="1">
      <alignment vertical="top" wrapText="1"/>
    </xf>
    <xf numFmtId="0" fontId="11" fillId="0" borderId="29" xfId="0" applyFont="1" applyBorder="1" applyAlignment="1">
      <alignment vertical="top" wrapText="1"/>
    </xf>
    <xf numFmtId="0" fontId="54" fillId="0" borderId="0" xfId="1" applyFont="1" applyBorder="1"/>
    <xf numFmtId="0" fontId="54" fillId="0" borderId="29" xfId="1" applyFont="1" applyBorder="1"/>
    <xf numFmtId="0" fontId="52" fillId="0" borderId="0" xfId="0" applyFont="1" applyAlignment="1">
      <alignment horizontal="center" vertical="center"/>
    </xf>
    <xf numFmtId="0" fontId="61" fillId="0" borderId="0" xfId="1" applyFont="1" applyFill="1" applyBorder="1" applyAlignment="1">
      <alignment horizontal="left" vertical="top" wrapText="1"/>
    </xf>
    <xf numFmtId="0" fontId="16" fillId="0" borderId="0" xfId="0" applyFont="1" applyAlignment="1">
      <alignment horizontal="center" vertical="top"/>
    </xf>
    <xf numFmtId="0" fontId="11" fillId="0" borderId="0" xfId="0" applyFont="1" applyAlignment="1">
      <alignment horizontal="left" vertical="top" wrapText="1"/>
    </xf>
    <xf numFmtId="0" fontId="61" fillId="0" borderId="0" xfId="1" applyFont="1" applyFill="1" applyBorder="1" applyAlignment="1">
      <alignment horizontal="left" vertical="top"/>
    </xf>
    <xf numFmtId="0" fontId="63" fillId="35" borderId="26" xfId="0" applyFont="1" applyFill="1" applyBorder="1" applyAlignment="1">
      <alignment horizontal="center" wrapText="1"/>
    </xf>
    <xf numFmtId="0" fontId="63" fillId="35" borderId="27" xfId="0" applyFont="1" applyFill="1" applyBorder="1" applyAlignment="1">
      <alignment horizontal="center" wrapText="1"/>
    </xf>
    <xf numFmtId="9" fontId="57" fillId="4" borderId="39" xfId="6" applyFont="1" applyFill="1" applyBorder="1" applyAlignment="1">
      <alignment horizontal="center" vertical="center"/>
    </xf>
    <xf numFmtId="9" fontId="57" fillId="4" borderId="40" xfId="6" applyFont="1" applyFill="1" applyBorder="1" applyAlignment="1">
      <alignment horizontal="center" vertical="center"/>
    </xf>
    <xf numFmtId="9" fontId="57" fillId="4" borderId="42" xfId="6" applyFont="1" applyFill="1" applyBorder="1" applyAlignment="1">
      <alignment horizontal="center" vertical="center"/>
    </xf>
    <xf numFmtId="9" fontId="57" fillId="4" borderId="43" xfId="6" applyFont="1" applyFill="1" applyBorder="1" applyAlignment="1">
      <alignment horizontal="center" vertical="center"/>
    </xf>
    <xf numFmtId="0" fontId="31" fillId="35" borderId="25" xfId="0" applyFont="1" applyFill="1" applyBorder="1" applyAlignment="1">
      <alignment horizontal="center" wrapText="1"/>
    </xf>
    <xf numFmtId="0" fontId="31" fillId="35" borderId="26" xfId="0" applyFont="1" applyFill="1" applyBorder="1" applyAlignment="1">
      <alignment horizontal="center" wrapText="1"/>
    </xf>
    <xf numFmtId="0" fontId="31" fillId="35" borderId="26" xfId="0" applyFont="1" applyFill="1" applyBorder="1" applyAlignment="1">
      <alignment horizontal="center"/>
    </xf>
    <xf numFmtId="0" fontId="1" fillId="0" borderId="0" xfId="0" applyFont="1" applyAlignment="1">
      <alignment horizontal="left" vertical="top" wrapText="1"/>
    </xf>
    <xf numFmtId="0" fontId="1" fillId="7" borderId="18" xfId="0" applyFont="1" applyFill="1" applyBorder="1" applyAlignment="1">
      <alignment horizontal="left" vertical="top" wrapText="1"/>
    </xf>
    <xf numFmtId="0" fontId="1" fillId="7" borderId="12" xfId="0" applyFont="1" applyFill="1" applyBorder="1" applyAlignment="1">
      <alignment horizontal="left" vertical="top" wrapText="1"/>
    </xf>
    <xf numFmtId="0" fontId="1" fillId="7" borderId="3" xfId="0" applyFont="1" applyFill="1" applyBorder="1" applyAlignment="1">
      <alignment horizontal="left" vertical="top" wrapText="1"/>
    </xf>
    <xf numFmtId="0" fontId="1" fillId="7" borderId="17" xfId="0" applyFont="1" applyFill="1" applyBorder="1" applyAlignment="1">
      <alignment horizontal="left" vertical="top" wrapText="1"/>
    </xf>
    <xf numFmtId="0" fontId="1" fillId="7" borderId="0" xfId="0" applyFont="1" applyFill="1" applyAlignment="1">
      <alignment horizontal="left" vertical="top" wrapText="1"/>
    </xf>
    <xf numFmtId="0" fontId="1" fillId="7" borderId="4" xfId="0" applyFont="1" applyFill="1" applyBorder="1" applyAlignment="1">
      <alignment horizontal="left" vertical="top" wrapText="1"/>
    </xf>
    <xf numFmtId="0" fontId="1" fillId="7" borderId="19" xfId="0" applyFont="1" applyFill="1" applyBorder="1" applyAlignment="1">
      <alignment horizontal="left" vertical="top" wrapText="1"/>
    </xf>
    <xf numFmtId="0" fontId="1" fillId="7" borderId="13" xfId="0" applyFont="1" applyFill="1" applyBorder="1" applyAlignment="1">
      <alignment horizontal="left" vertical="top" wrapText="1"/>
    </xf>
    <xf numFmtId="0" fontId="1" fillId="7" borderId="5" xfId="0" applyFont="1" applyFill="1" applyBorder="1" applyAlignment="1">
      <alignment horizontal="left" vertical="top" wrapText="1"/>
    </xf>
    <xf numFmtId="0" fontId="29" fillId="0" borderId="0" xfId="0" applyFont="1" applyAlignment="1">
      <alignment horizontal="left"/>
    </xf>
    <xf numFmtId="0" fontId="1" fillId="0" borderId="0" xfId="0" applyFont="1" applyAlignment="1">
      <alignment horizontal="left"/>
    </xf>
    <xf numFmtId="0" fontId="1" fillId="0" borderId="100" xfId="0" applyFont="1" applyBorder="1" applyAlignment="1" applyProtection="1">
      <alignment horizontal="left"/>
      <protection locked="0"/>
    </xf>
    <xf numFmtId="0" fontId="1" fillId="0" borderId="101" xfId="0" applyFont="1" applyBorder="1" applyAlignment="1" applyProtection="1">
      <alignment horizontal="left"/>
      <protection locked="0"/>
    </xf>
    <xf numFmtId="0" fontId="1" fillId="0" borderId="102" xfId="0" applyFont="1" applyBorder="1" applyAlignment="1" applyProtection="1">
      <alignment horizontal="left"/>
      <protection locked="0"/>
    </xf>
    <xf numFmtId="176" fontId="1" fillId="0" borderId="100" xfId="0" applyNumberFormat="1" applyFont="1" applyBorder="1" applyAlignment="1" applyProtection="1">
      <alignment horizontal="left"/>
      <protection locked="0"/>
    </xf>
    <xf numFmtId="176" fontId="1" fillId="0" borderId="101" xfId="0" applyNumberFormat="1" applyFont="1" applyBorder="1" applyAlignment="1" applyProtection="1">
      <alignment horizontal="left"/>
      <protection locked="0"/>
    </xf>
    <xf numFmtId="176" fontId="1" fillId="0" borderId="102" xfId="0" applyNumberFormat="1" applyFont="1" applyBorder="1" applyAlignment="1" applyProtection="1">
      <alignment horizontal="left"/>
      <protection locked="0"/>
    </xf>
    <xf numFmtId="0" fontId="143" fillId="0" borderId="0" xfId="0" applyFont="1" applyAlignment="1">
      <alignment horizontal="center" vertical="center"/>
    </xf>
    <xf numFmtId="166" fontId="1" fillId="0" borderId="11" xfId="0" applyNumberFormat="1" applyFont="1" applyBorder="1" applyAlignment="1">
      <alignment horizontal="center" shrinkToFit="1"/>
    </xf>
    <xf numFmtId="166" fontId="1" fillId="0" borderId="10" xfId="0" applyNumberFormat="1" applyFont="1" applyBorder="1" applyAlignment="1">
      <alignment horizontal="center" shrinkToFit="1"/>
    </xf>
    <xf numFmtId="0" fontId="1" fillId="0" borderId="0" xfId="0" applyFont="1" applyAlignment="1">
      <alignment horizontal="center" wrapText="1"/>
    </xf>
    <xf numFmtId="0" fontId="17" fillId="0" borderId="0" xfId="0" applyFont="1" applyAlignment="1">
      <alignment horizontal="center" wrapText="1"/>
    </xf>
    <xf numFmtId="2" fontId="2" fillId="0" borderId="10" xfId="0" applyNumberFormat="1" applyFont="1" applyBorder="1" applyAlignment="1">
      <alignment horizontal="center" shrinkToFit="1"/>
    </xf>
    <xf numFmtId="166" fontId="1" fillId="0" borderId="99" xfId="0" applyNumberFormat="1" applyFont="1" applyBorder="1" applyAlignment="1">
      <alignment horizontal="center" shrinkToFit="1"/>
    </xf>
    <xf numFmtId="1" fontId="1" fillId="0" borderId="11" xfId="0" applyNumberFormat="1" applyFont="1" applyBorder="1" applyAlignment="1">
      <alignment horizontal="center" shrinkToFit="1"/>
    </xf>
    <xf numFmtId="1" fontId="1" fillId="0" borderId="10" xfId="0" applyNumberFormat="1" applyFont="1" applyBorder="1" applyAlignment="1">
      <alignment horizontal="center" shrinkToFit="1"/>
    </xf>
    <xf numFmtId="0" fontId="1" fillId="0" borderId="9" xfId="0" applyFont="1" applyBorder="1" applyAlignment="1">
      <alignment horizontal="center" wrapText="1"/>
    </xf>
    <xf numFmtId="0" fontId="134" fillId="0" borderId="0" xfId="0" applyFont="1" applyAlignment="1">
      <alignment horizontal="center" vertical="center" wrapText="1"/>
    </xf>
    <xf numFmtId="1" fontId="2" fillId="0" borderId="10" xfId="0" applyNumberFormat="1" applyFont="1" applyBorder="1" applyAlignment="1">
      <alignment horizontal="center" shrinkToFit="1"/>
    </xf>
    <xf numFmtId="166" fontId="1" fillId="0" borderId="74" xfId="0" applyNumberFormat="1" applyFont="1" applyBorder="1" applyAlignment="1" applyProtection="1">
      <alignment horizontal="center"/>
      <protection locked="0"/>
    </xf>
    <xf numFmtId="166" fontId="1" fillId="0" borderId="91" xfId="0" applyNumberFormat="1" applyFont="1" applyBorder="1" applyAlignment="1" applyProtection="1">
      <alignment horizontal="center"/>
      <protection locked="0"/>
    </xf>
    <xf numFmtId="166" fontId="1" fillId="0" borderId="77" xfId="0" applyNumberFormat="1" applyFont="1" applyBorder="1" applyAlignment="1" applyProtection="1">
      <alignment horizontal="center"/>
      <protection locked="0"/>
    </xf>
    <xf numFmtId="166" fontId="1" fillId="0" borderId="92" xfId="0" applyNumberFormat="1" applyFont="1" applyBorder="1" applyAlignment="1" applyProtection="1">
      <alignment horizontal="center"/>
      <protection locked="0"/>
    </xf>
    <xf numFmtId="169" fontId="16" fillId="7" borderId="89" xfId="0" applyNumberFormat="1" applyFont="1" applyFill="1" applyBorder="1" applyAlignment="1">
      <alignment horizontal="center" shrinkToFit="1"/>
    </xf>
    <xf numFmtId="169" fontId="16" fillId="7" borderId="75" xfId="0" applyNumberFormat="1" applyFont="1" applyFill="1" applyBorder="1" applyAlignment="1">
      <alignment horizontal="center" shrinkToFit="1"/>
    </xf>
    <xf numFmtId="169" fontId="16" fillId="7" borderId="76" xfId="0" applyNumberFormat="1" applyFont="1" applyFill="1" applyBorder="1" applyAlignment="1">
      <alignment horizontal="center" shrinkToFit="1"/>
    </xf>
    <xf numFmtId="169" fontId="16" fillId="7" borderId="90" xfId="0" applyNumberFormat="1" applyFont="1" applyFill="1" applyBorder="1" applyAlignment="1">
      <alignment horizontal="center" shrinkToFit="1"/>
    </xf>
    <xf numFmtId="169" fontId="16" fillId="7" borderId="78" xfId="0" applyNumberFormat="1" applyFont="1" applyFill="1" applyBorder="1" applyAlignment="1">
      <alignment horizontal="center" shrinkToFit="1"/>
    </xf>
    <xf numFmtId="169" fontId="16" fillId="7" borderId="79" xfId="0" applyNumberFormat="1" applyFont="1" applyFill="1" applyBorder="1" applyAlignment="1">
      <alignment horizontal="center" shrinkToFit="1"/>
    </xf>
    <xf numFmtId="166" fontId="16" fillId="7" borderId="74" xfId="0" applyNumberFormat="1" applyFont="1" applyFill="1" applyBorder="1" applyAlignment="1" applyProtection="1">
      <alignment horizontal="center" wrapText="1"/>
      <protection hidden="1"/>
    </xf>
    <xf numFmtId="166" fontId="16" fillId="7" borderId="75" xfId="0" applyNumberFormat="1" applyFont="1" applyFill="1" applyBorder="1" applyAlignment="1" applyProtection="1">
      <alignment horizontal="center" wrapText="1"/>
      <protection hidden="1"/>
    </xf>
    <xf numFmtId="166" fontId="16" fillId="7" borderId="91" xfId="0" applyNumberFormat="1" applyFont="1" applyFill="1" applyBorder="1" applyAlignment="1" applyProtection="1">
      <alignment horizontal="center" wrapText="1"/>
      <protection hidden="1"/>
    </xf>
    <xf numFmtId="166" fontId="16" fillId="7" borderId="77" xfId="0" applyNumberFormat="1" applyFont="1" applyFill="1" applyBorder="1" applyAlignment="1" applyProtection="1">
      <alignment horizontal="center" wrapText="1"/>
      <protection hidden="1"/>
    </xf>
    <xf numFmtId="166" fontId="16" fillId="7" borderId="78" xfId="0" applyNumberFormat="1" applyFont="1" applyFill="1" applyBorder="1" applyAlignment="1" applyProtection="1">
      <alignment horizontal="center" wrapText="1"/>
      <protection hidden="1"/>
    </xf>
    <xf numFmtId="166" fontId="16" fillId="7" borderId="92" xfId="0" applyNumberFormat="1" applyFont="1" applyFill="1" applyBorder="1" applyAlignment="1" applyProtection="1">
      <alignment horizontal="center" wrapText="1"/>
      <protection hidden="1"/>
    </xf>
    <xf numFmtId="3" fontId="1" fillId="0" borderId="74" xfId="0" applyNumberFormat="1" applyFont="1" applyBorder="1" applyAlignment="1">
      <alignment horizontal="center"/>
    </xf>
    <xf numFmtId="3" fontId="1" fillId="0" borderId="76" xfId="0" applyNumberFormat="1" applyFont="1" applyBorder="1" applyAlignment="1">
      <alignment horizontal="center"/>
    </xf>
    <xf numFmtId="3" fontId="1" fillId="0" borderId="77" xfId="0" applyNumberFormat="1" applyFont="1" applyBorder="1" applyAlignment="1">
      <alignment horizontal="center"/>
    </xf>
    <xf numFmtId="3" fontId="1" fillId="0" borderId="79" xfId="0" applyNumberFormat="1" applyFont="1" applyBorder="1" applyAlignment="1">
      <alignment horizontal="center"/>
    </xf>
    <xf numFmtId="166" fontId="1" fillId="0" borderId="76" xfId="0" applyNumberFormat="1" applyFont="1" applyBorder="1" applyAlignment="1" applyProtection="1">
      <alignment horizontal="center"/>
      <protection locked="0"/>
    </xf>
    <xf numFmtId="166" fontId="1" fillId="0" borderId="79" xfId="0" applyNumberFormat="1" applyFont="1" applyBorder="1" applyAlignment="1" applyProtection="1">
      <alignment horizontal="center"/>
      <protection locked="0"/>
    </xf>
    <xf numFmtId="2" fontId="17" fillId="0" borderId="10" xfId="0" applyNumberFormat="1" applyFont="1" applyBorder="1" applyAlignment="1">
      <alignment horizontal="center" wrapText="1" shrinkToFit="1"/>
    </xf>
    <xf numFmtId="171" fontId="1" fillId="0" borderId="10" xfId="0" applyNumberFormat="1" applyFont="1" applyBorder="1" applyAlignment="1">
      <alignment horizontal="center" shrinkToFit="1"/>
    </xf>
    <xf numFmtId="171" fontId="2" fillId="0" borderId="10" xfId="0" applyNumberFormat="1" applyFont="1" applyBorder="1" applyAlignment="1">
      <alignment horizontal="center" shrinkToFit="1"/>
    </xf>
    <xf numFmtId="166" fontId="2" fillId="0" borderId="10" xfId="0" applyNumberFormat="1" applyFont="1" applyBorder="1" applyAlignment="1">
      <alignment horizontal="center" shrinkToFit="1"/>
    </xf>
    <xf numFmtId="0" fontId="0" fillId="0" borderId="87"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3" fontId="1" fillId="0" borderId="74" xfId="0" applyNumberFormat="1" applyFont="1" applyBorder="1" applyAlignment="1" applyProtection="1">
      <alignment horizontal="center"/>
      <protection locked="0"/>
    </xf>
    <xf numFmtId="3" fontId="1" fillId="0" borderId="76" xfId="0" applyNumberFormat="1" applyFont="1" applyBorder="1" applyAlignment="1" applyProtection="1">
      <alignment horizontal="center"/>
      <protection locked="0"/>
    </xf>
    <xf numFmtId="3" fontId="1" fillId="0" borderId="77" xfId="0" applyNumberFormat="1" applyFont="1" applyBorder="1" applyAlignment="1" applyProtection="1">
      <alignment horizontal="center"/>
      <protection locked="0"/>
    </xf>
    <xf numFmtId="3" fontId="1" fillId="0" borderId="79" xfId="0" applyNumberFormat="1" applyFont="1" applyBorder="1" applyAlignment="1" applyProtection="1">
      <alignment horizontal="center"/>
      <protection locked="0"/>
    </xf>
    <xf numFmtId="3" fontId="1" fillId="0" borderId="97" xfId="0" applyNumberFormat="1" applyFont="1" applyBorder="1" applyAlignment="1">
      <alignment horizontal="center"/>
    </xf>
    <xf numFmtId="3" fontId="1" fillId="0" borderId="96" xfId="0" applyNumberFormat="1" applyFont="1" applyBorder="1" applyAlignment="1">
      <alignment horizontal="center"/>
    </xf>
    <xf numFmtId="166" fontId="1" fillId="0" borderId="97" xfId="0" applyNumberFormat="1" applyFont="1" applyBorder="1" applyAlignment="1" applyProtection="1">
      <alignment horizontal="center"/>
      <protection locked="0"/>
    </xf>
    <xf numFmtId="166" fontId="1" fillId="0" borderId="96" xfId="0" applyNumberFormat="1" applyFont="1" applyBorder="1" applyAlignment="1" applyProtection="1">
      <alignment horizontal="center"/>
      <protection locked="0"/>
    </xf>
    <xf numFmtId="0" fontId="1" fillId="0" borderId="88" xfId="0" applyFont="1" applyBorder="1" applyAlignment="1">
      <alignment horizontal="center" vertical="center"/>
    </xf>
    <xf numFmtId="3" fontId="1" fillId="0" borderId="75" xfId="0" applyNumberFormat="1" applyFont="1" applyBorder="1" applyAlignment="1" applyProtection="1">
      <alignment horizontal="center"/>
      <protection locked="0"/>
    </xf>
    <xf numFmtId="3" fontId="1" fillId="0" borderId="78" xfId="0" applyNumberFormat="1" applyFont="1" applyBorder="1" applyAlignment="1" applyProtection="1">
      <alignment horizontal="center"/>
      <protection locked="0"/>
    </xf>
    <xf numFmtId="3" fontId="1" fillId="0" borderId="97" xfId="0" applyNumberFormat="1" applyFont="1" applyBorder="1" applyAlignment="1" applyProtection="1">
      <alignment horizontal="center"/>
      <protection locked="0"/>
    </xf>
    <xf numFmtId="3" fontId="1" fillId="0" borderId="96" xfId="0" applyNumberFormat="1" applyFont="1" applyBorder="1" applyAlignment="1" applyProtection="1">
      <alignment horizontal="center"/>
      <protection locked="0"/>
    </xf>
    <xf numFmtId="0" fontId="1" fillId="0" borderId="89" xfId="0" applyFont="1" applyBorder="1" applyAlignment="1" applyProtection="1">
      <alignment horizontal="center" wrapText="1"/>
      <protection locked="0"/>
    </xf>
    <xf numFmtId="0" fontId="1" fillId="0" borderId="75" xfId="0" applyFont="1" applyBorder="1" applyAlignment="1" applyProtection="1">
      <alignment horizontal="center" wrapText="1"/>
      <protection locked="0"/>
    </xf>
    <xf numFmtId="0" fontId="1" fillId="0" borderId="76" xfId="0" applyFont="1" applyBorder="1" applyAlignment="1" applyProtection="1">
      <alignment horizontal="center" wrapText="1"/>
      <protection locked="0"/>
    </xf>
    <xf numFmtId="0" fontId="1" fillId="0" borderId="90" xfId="0" applyFont="1" applyBorder="1" applyAlignment="1" applyProtection="1">
      <alignment horizontal="center" wrapText="1"/>
      <protection locked="0"/>
    </xf>
    <xf numFmtId="0" fontId="1" fillId="0" borderId="78" xfId="0" applyFont="1" applyBorder="1" applyAlignment="1" applyProtection="1">
      <alignment horizontal="center" wrapText="1"/>
      <protection locked="0"/>
    </xf>
    <xf numFmtId="0" fontId="1" fillId="0" borderId="79" xfId="0" applyFont="1" applyBorder="1" applyAlignment="1" applyProtection="1">
      <alignment horizontal="center" wrapText="1"/>
      <protection locked="0"/>
    </xf>
    <xf numFmtId="0" fontId="1" fillId="0" borderId="74" xfId="0" applyFont="1" applyBorder="1" applyAlignment="1" applyProtection="1">
      <alignment horizontal="center" wrapText="1"/>
      <protection locked="0"/>
    </xf>
    <xf numFmtId="0" fontId="1" fillId="0" borderId="77" xfId="0" applyFont="1" applyBorder="1" applyAlignment="1" applyProtection="1">
      <alignment horizontal="center" wrapText="1"/>
      <protection locked="0"/>
    </xf>
    <xf numFmtId="0" fontId="16" fillId="0" borderId="69" xfId="0" applyFont="1" applyBorder="1" applyAlignment="1">
      <alignment horizontal="center"/>
    </xf>
    <xf numFmtId="0" fontId="1" fillId="0" borderId="78" xfId="0" applyFont="1" applyBorder="1" applyAlignment="1">
      <alignment horizontal="center" wrapText="1"/>
    </xf>
    <xf numFmtId="166" fontId="1" fillId="0" borderId="95" xfId="0" applyNumberFormat="1" applyFont="1" applyBorder="1" applyAlignment="1" applyProtection="1">
      <alignment horizontal="center"/>
      <protection locked="0"/>
    </xf>
    <xf numFmtId="166" fontId="1" fillId="0" borderId="94" xfId="0" applyNumberFormat="1" applyFont="1" applyBorder="1" applyAlignment="1" applyProtection="1">
      <alignment horizontal="center"/>
      <protection locked="0"/>
    </xf>
    <xf numFmtId="0" fontId="0" fillId="0" borderId="0" xfId="0" applyAlignment="1">
      <alignment horizontal="center"/>
    </xf>
    <xf numFmtId="0" fontId="17" fillId="0" borderId="9" xfId="0" applyFont="1" applyBorder="1" applyAlignment="1">
      <alignment horizontal="center" wrapText="1"/>
    </xf>
    <xf numFmtId="0" fontId="1" fillId="0" borderId="74" xfId="0" applyFont="1" applyBorder="1" applyAlignment="1" applyProtection="1">
      <alignment horizontal="left" vertical="top" wrapText="1"/>
      <protection locked="0"/>
    </xf>
    <xf numFmtId="0" fontId="1" fillId="0" borderId="75" xfId="0" applyFont="1" applyBorder="1" applyAlignment="1" applyProtection="1">
      <alignment horizontal="left" vertical="top" wrapText="1"/>
      <protection locked="0"/>
    </xf>
    <xf numFmtId="0" fontId="1" fillId="0" borderId="76" xfId="0" applyFont="1" applyBorder="1" applyAlignment="1" applyProtection="1">
      <alignment horizontal="left" vertical="top" wrapText="1"/>
      <protection locked="0"/>
    </xf>
    <xf numFmtId="0" fontId="1" fillId="0" borderId="77" xfId="0" applyFont="1" applyBorder="1" applyAlignment="1" applyProtection="1">
      <alignment horizontal="left" vertical="top" wrapText="1"/>
      <protection locked="0"/>
    </xf>
    <xf numFmtId="0" fontId="1" fillId="0" borderId="78" xfId="0" applyFont="1" applyBorder="1" applyAlignment="1" applyProtection="1">
      <alignment horizontal="left" vertical="top" wrapText="1"/>
      <protection locked="0"/>
    </xf>
    <xf numFmtId="0" fontId="1" fillId="0" borderId="79" xfId="0" applyFont="1" applyBorder="1" applyAlignment="1" applyProtection="1">
      <alignment horizontal="left" vertical="top" wrapText="1"/>
      <protection locked="0"/>
    </xf>
    <xf numFmtId="0" fontId="1" fillId="0" borderId="0" xfId="0" applyFont="1" applyAlignment="1">
      <alignment horizontal="center"/>
    </xf>
    <xf numFmtId="0" fontId="1" fillId="0" borderId="64" xfId="0" applyFont="1" applyBorder="1" applyAlignment="1">
      <alignment horizontal="center"/>
    </xf>
    <xf numFmtId="165" fontId="17" fillId="0" borderId="46" xfId="0" applyNumberFormat="1" applyFont="1" applyBorder="1" applyProtection="1">
      <protection locked="0" hidden="1"/>
    </xf>
    <xf numFmtId="165" fontId="17" fillId="0" borderId="47" xfId="0" applyNumberFormat="1" applyFont="1" applyBorder="1" applyProtection="1">
      <protection locked="0" hidden="1"/>
    </xf>
    <xf numFmtId="165" fontId="17" fillId="0" borderId="24" xfId="0" applyNumberFormat="1" applyFont="1" applyBorder="1" applyProtection="1">
      <protection locked="0" hidden="1"/>
    </xf>
    <xf numFmtId="0" fontId="1" fillId="0" borderId="0" xfId="0" applyFont="1" applyAlignment="1">
      <alignment horizontal="left" wrapText="1"/>
    </xf>
    <xf numFmtId="0" fontId="17" fillId="0" borderId="0" xfId="0" applyFont="1" applyAlignment="1">
      <alignment horizontal="left" wrapText="1"/>
    </xf>
    <xf numFmtId="0" fontId="1" fillId="0" borderId="85" xfId="0" applyFont="1" applyBorder="1" applyAlignment="1">
      <alignment horizontal="center"/>
    </xf>
    <xf numFmtId="0" fontId="1" fillId="0" borderId="70" xfId="0" applyFont="1" applyBorder="1" applyAlignment="1">
      <alignment horizontal="center"/>
    </xf>
    <xf numFmtId="0" fontId="1" fillId="0" borderId="64" xfId="0" applyFont="1" applyBorder="1" applyAlignment="1">
      <alignment horizontal="center" wrapText="1"/>
    </xf>
    <xf numFmtId="3" fontId="1" fillId="0" borderId="95" xfId="0" applyNumberFormat="1" applyFont="1" applyBorder="1" applyAlignment="1" applyProtection="1">
      <alignment horizontal="center"/>
      <protection locked="0"/>
    </xf>
    <xf numFmtId="3" fontId="1" fillId="0" borderId="94" xfId="0" applyNumberFormat="1" applyFont="1" applyBorder="1" applyAlignment="1" applyProtection="1">
      <alignment horizontal="center"/>
      <protection locked="0"/>
    </xf>
    <xf numFmtId="0" fontId="118" fillId="30" borderId="98" xfId="0" applyFont="1" applyFill="1" applyBorder="1" applyAlignment="1">
      <alignment horizontal="center" vertical="top" wrapText="1"/>
    </xf>
    <xf numFmtId="0" fontId="118" fillId="30" borderId="0" xfId="0" applyFont="1" applyFill="1" applyAlignment="1">
      <alignment horizontal="center" vertical="top" wrapText="1"/>
    </xf>
    <xf numFmtId="0" fontId="118" fillId="30" borderId="98" xfId="0" applyFont="1" applyFill="1" applyBorder="1" applyAlignment="1">
      <alignment horizontal="center" vertical="top"/>
    </xf>
    <xf numFmtId="0" fontId="118" fillId="30" borderId="0" xfId="0" applyFont="1" applyFill="1" applyAlignment="1">
      <alignment horizontal="center" vertical="top"/>
    </xf>
    <xf numFmtId="165" fontId="17" fillId="0" borderId="46" xfId="0" applyNumberFormat="1" applyFont="1" applyBorder="1" applyAlignment="1" applyProtection="1">
      <alignment horizontal="left"/>
      <protection locked="0" hidden="1"/>
    </xf>
    <xf numFmtId="165" fontId="17" fillId="0" borderId="47" xfId="0" applyNumberFormat="1" applyFont="1" applyBorder="1" applyAlignment="1" applyProtection="1">
      <alignment horizontal="left"/>
      <protection locked="0" hidden="1"/>
    </xf>
    <xf numFmtId="165" fontId="17" fillId="0" borderId="24" xfId="0" applyNumberFormat="1" applyFont="1" applyBorder="1" applyAlignment="1" applyProtection="1">
      <alignment horizontal="left"/>
      <protection locked="0" hidden="1"/>
    </xf>
    <xf numFmtId="0" fontId="17" fillId="0" borderId="46" xfId="0" applyFont="1" applyBorder="1" applyAlignment="1" applyProtection="1">
      <alignment horizontal="left"/>
      <protection locked="0"/>
    </xf>
    <xf numFmtId="0" fontId="17" fillId="0" borderId="47" xfId="0" applyFont="1" applyBorder="1" applyAlignment="1" applyProtection="1">
      <alignment horizontal="left"/>
      <protection locked="0"/>
    </xf>
    <xf numFmtId="0" fontId="17" fillId="0" borderId="24" xfId="0" applyFont="1" applyBorder="1" applyAlignment="1" applyProtection="1">
      <alignment horizontal="left"/>
      <protection locked="0"/>
    </xf>
    <xf numFmtId="0" fontId="5" fillId="0" borderId="46" xfId="0" applyFont="1" applyBorder="1" applyAlignment="1" applyProtection="1">
      <alignment horizontal="left"/>
      <protection locked="0" hidden="1"/>
    </xf>
    <xf numFmtId="0" fontId="17" fillId="0" borderId="47" xfId="0" applyFont="1" applyBorder="1" applyAlignment="1" applyProtection="1">
      <alignment horizontal="left"/>
      <protection locked="0" hidden="1"/>
    </xf>
    <xf numFmtId="0" fontId="17" fillId="0" borderId="24" xfId="0" applyFont="1" applyBorder="1" applyAlignment="1" applyProtection="1">
      <alignment horizontal="left"/>
      <protection locked="0" hidden="1"/>
    </xf>
    <xf numFmtId="170" fontId="17" fillId="0" borderId="46" xfId="0" applyNumberFormat="1" applyFont="1" applyBorder="1" applyAlignment="1" applyProtection="1">
      <alignment horizontal="left"/>
      <protection locked="0" hidden="1"/>
    </xf>
    <xf numFmtId="170" fontId="17" fillId="0" borderId="47" xfId="0" applyNumberFormat="1" applyFont="1" applyBorder="1" applyAlignment="1" applyProtection="1">
      <alignment horizontal="left"/>
      <protection locked="0" hidden="1"/>
    </xf>
    <xf numFmtId="170" fontId="17" fillId="0" borderId="24" xfId="0" applyNumberFormat="1" applyFont="1" applyBorder="1" applyAlignment="1" applyProtection="1">
      <alignment horizontal="left"/>
      <protection locked="0" hidden="1"/>
    </xf>
    <xf numFmtId="0" fontId="112" fillId="0" borderId="0" xfId="0" applyFont="1" applyAlignment="1">
      <alignment horizontal="center" vertical="center" wrapText="1"/>
    </xf>
    <xf numFmtId="0" fontId="17" fillId="0" borderId="0" xfId="0" applyFont="1"/>
    <xf numFmtId="166" fontId="118" fillId="30" borderId="0" xfId="0" applyNumberFormat="1" applyFont="1" applyFill="1" applyAlignment="1">
      <alignment horizontal="center" vertical="center"/>
    </xf>
    <xf numFmtId="0" fontId="118" fillId="30" borderId="0" xfId="0" applyFont="1" applyFill="1" applyAlignment="1">
      <alignment horizontal="center" vertical="center" wrapText="1"/>
    </xf>
    <xf numFmtId="9" fontId="118" fillId="30" borderId="0" xfId="6" applyFont="1" applyFill="1" applyBorder="1" applyAlignment="1" applyProtection="1">
      <alignment horizontal="center" vertical="center"/>
    </xf>
    <xf numFmtId="0" fontId="119" fillId="0" borderId="0" xfId="0" applyFont="1" applyAlignment="1">
      <alignment horizontal="center" vertical="center"/>
    </xf>
    <xf numFmtId="0" fontId="3" fillId="0" borderId="0" xfId="0" applyFont="1"/>
    <xf numFmtId="0" fontId="1" fillId="0" borderId="46" xfId="0" applyFont="1" applyBorder="1" applyAlignment="1" applyProtection="1">
      <alignment horizontal="left"/>
      <protection locked="0"/>
    </xf>
    <xf numFmtId="0" fontId="30" fillId="0" borderId="74" xfId="0" applyFont="1" applyBorder="1" applyAlignment="1" applyProtection="1">
      <alignment horizontal="center" vertical="center" wrapText="1"/>
      <protection locked="0"/>
    </xf>
    <xf numFmtId="0" fontId="30" fillId="0" borderId="75" xfId="0" applyFont="1" applyBorder="1" applyAlignment="1" applyProtection="1">
      <alignment horizontal="center" vertical="center" wrapText="1"/>
      <protection locked="0"/>
    </xf>
    <xf numFmtId="0" fontId="30" fillId="0" borderId="76" xfId="0" applyFont="1" applyBorder="1" applyAlignment="1" applyProtection="1">
      <alignment horizontal="center" vertical="center" wrapText="1"/>
      <protection locked="0"/>
    </xf>
    <xf numFmtId="0" fontId="30" fillId="0" borderId="77" xfId="0" applyFont="1" applyBorder="1" applyAlignment="1" applyProtection="1">
      <alignment horizontal="center" vertical="center" wrapText="1"/>
      <protection locked="0"/>
    </xf>
    <xf numFmtId="0" fontId="30" fillId="0" borderId="78" xfId="0" applyFont="1" applyBorder="1" applyAlignment="1" applyProtection="1">
      <alignment horizontal="center" vertical="center" wrapText="1"/>
      <protection locked="0"/>
    </xf>
    <xf numFmtId="0" fontId="30" fillId="0" borderId="79" xfId="0" applyFont="1" applyBorder="1" applyAlignment="1" applyProtection="1">
      <alignment horizontal="center" vertical="center" wrapText="1"/>
      <protection locked="0"/>
    </xf>
    <xf numFmtId="0" fontId="1" fillId="0" borderId="46" xfId="0" quotePrefix="1" applyFont="1" applyBorder="1" applyAlignment="1" applyProtection="1">
      <alignment horizontal="left"/>
      <protection locked="0" hidden="1"/>
    </xf>
    <xf numFmtId="0" fontId="17" fillId="0" borderId="46" xfId="0" applyFont="1" applyBorder="1" applyAlignment="1" applyProtection="1">
      <alignment horizontal="left"/>
      <protection locked="0" hidden="1"/>
    </xf>
    <xf numFmtId="0" fontId="102" fillId="30" borderId="0" xfId="0" applyFont="1" applyFill="1" applyAlignment="1">
      <alignment horizontal="center" vertical="center"/>
    </xf>
    <xf numFmtId="169" fontId="131" fillId="4" borderId="0" xfId="0" applyNumberFormat="1" applyFont="1" applyFill="1" applyAlignment="1">
      <alignment horizontal="center" vertical="center"/>
    </xf>
    <xf numFmtId="169" fontId="131" fillId="4" borderId="64" xfId="0" applyNumberFormat="1" applyFont="1" applyFill="1" applyBorder="1" applyAlignment="1">
      <alignment horizontal="center" vertical="center"/>
    </xf>
    <xf numFmtId="166" fontId="131" fillId="4" borderId="0" xfId="0" applyNumberFormat="1" applyFont="1" applyFill="1" applyAlignment="1">
      <alignment horizontal="center" vertical="center"/>
    </xf>
    <xf numFmtId="166" fontId="131" fillId="4" borderId="64" xfId="0" applyNumberFormat="1" applyFont="1" applyFill="1" applyBorder="1" applyAlignment="1">
      <alignment horizontal="center" vertical="center"/>
    </xf>
    <xf numFmtId="2" fontId="131" fillId="4" borderId="0" xfId="0" applyNumberFormat="1" applyFont="1" applyFill="1" applyAlignment="1">
      <alignment horizontal="center" vertical="center"/>
    </xf>
    <xf numFmtId="2" fontId="131" fillId="4" borderId="64" xfId="0" applyNumberFormat="1" applyFont="1" applyFill="1" applyBorder="1" applyAlignment="1">
      <alignment horizontal="center" vertical="center"/>
    </xf>
    <xf numFmtId="0" fontId="131" fillId="4" borderId="0" xfId="0" applyFont="1" applyFill="1" applyAlignment="1">
      <alignment horizontal="center" vertical="center"/>
    </xf>
    <xf numFmtId="0" fontId="131" fillId="4" borderId="64" xfId="0" applyFont="1" applyFill="1" applyBorder="1" applyAlignment="1">
      <alignment horizontal="center" vertical="center"/>
    </xf>
    <xf numFmtId="0" fontId="1" fillId="0" borderId="46" xfId="0" applyFont="1" applyBorder="1" applyProtection="1">
      <protection locked="0" hidden="1"/>
    </xf>
    <xf numFmtId="0" fontId="17" fillId="0" borderId="47" xfId="0" applyFont="1" applyBorder="1" applyProtection="1">
      <protection locked="0" hidden="1"/>
    </xf>
    <xf numFmtId="0" fontId="17" fillId="0" borderId="24" xfId="0" applyFont="1" applyBorder="1" applyProtection="1">
      <protection locked="0" hidden="1"/>
    </xf>
    <xf numFmtId="3" fontId="17" fillId="0" borderId="46" xfId="0" applyNumberFormat="1" applyFont="1" applyBorder="1" applyProtection="1">
      <protection locked="0" hidden="1"/>
    </xf>
    <xf numFmtId="3" fontId="17" fillId="0" borderId="47" xfId="0" applyNumberFormat="1" applyFont="1" applyBorder="1" applyProtection="1">
      <protection locked="0" hidden="1"/>
    </xf>
    <xf numFmtId="3" fontId="17" fillId="0" borderId="24" xfId="0" applyNumberFormat="1" applyFont="1" applyBorder="1" applyProtection="1">
      <protection locked="0" hidden="1"/>
    </xf>
    <xf numFmtId="0" fontId="17" fillId="19" borderId="46" xfId="0" applyFont="1" applyFill="1" applyBorder="1" applyProtection="1">
      <protection hidden="1"/>
    </xf>
    <xf numFmtId="0" fontId="17" fillId="19" borderId="47" xfId="0" applyFont="1" applyFill="1" applyBorder="1" applyProtection="1">
      <protection hidden="1"/>
    </xf>
    <xf numFmtId="0" fontId="17" fillId="19" borderId="24" xfId="0" applyFont="1" applyFill="1" applyBorder="1" applyProtection="1">
      <protection hidden="1"/>
    </xf>
    <xf numFmtId="0" fontId="68" fillId="0" borderId="0" xfId="0" applyFont="1" applyAlignment="1">
      <alignment horizontal="center" vertical="center" wrapText="1"/>
    </xf>
    <xf numFmtId="0" fontId="68" fillId="0" borderId="78" xfId="0" applyFont="1" applyBorder="1" applyAlignment="1">
      <alignment horizontal="center" vertical="center" wrapText="1"/>
    </xf>
    <xf numFmtId="176" fontId="112" fillId="0" borderId="46" xfId="0" applyNumberFormat="1" applyFont="1" applyBorder="1" applyAlignment="1" applyProtection="1">
      <alignment horizontal="center" vertical="center"/>
      <protection locked="0"/>
    </xf>
    <xf numFmtId="176" fontId="112" fillId="0" borderId="47" xfId="0" applyNumberFormat="1" applyFont="1" applyBorder="1" applyAlignment="1" applyProtection="1">
      <alignment horizontal="center" vertical="center"/>
      <protection locked="0"/>
    </xf>
    <xf numFmtId="176" fontId="112" fillId="0" borderId="24" xfId="0" applyNumberFormat="1" applyFont="1" applyBorder="1" applyAlignment="1" applyProtection="1">
      <alignment horizontal="center" vertical="center"/>
      <protection locked="0"/>
    </xf>
    <xf numFmtId="0" fontId="137" fillId="0" borderId="0" xfId="0" applyFont="1" applyAlignment="1">
      <alignment horizontal="center" wrapText="1"/>
    </xf>
    <xf numFmtId="0" fontId="48" fillId="30" borderId="61" xfId="0" applyFont="1" applyFill="1" applyBorder="1" applyAlignment="1">
      <alignment horizontal="left"/>
    </xf>
    <xf numFmtId="0" fontId="48" fillId="30" borderId="0" xfId="0" applyFont="1" applyFill="1" applyAlignment="1">
      <alignment horizontal="left"/>
    </xf>
    <xf numFmtId="170" fontId="1" fillId="0" borderId="46" xfId="0" applyNumberFormat="1" applyFont="1" applyBorder="1" applyAlignment="1" applyProtection="1">
      <alignment horizontal="left"/>
      <protection locked="0" hidden="1"/>
    </xf>
    <xf numFmtId="0" fontId="13" fillId="0" borderId="46" xfId="1" applyBorder="1" applyAlignment="1" applyProtection="1">
      <protection locked="0" hidden="1"/>
    </xf>
    <xf numFmtId="0" fontId="54" fillId="0" borderId="47" xfId="1" applyFont="1" applyBorder="1" applyAlignment="1" applyProtection="1">
      <protection locked="0" hidden="1"/>
    </xf>
    <xf numFmtId="0" fontId="54" fillId="0" borderId="24" xfId="1" applyFont="1" applyBorder="1" applyAlignment="1" applyProtection="1">
      <protection locked="0" hidden="1"/>
    </xf>
    <xf numFmtId="0" fontId="52" fillId="0" borderId="0" xfId="0" applyFont="1" applyAlignment="1">
      <alignment horizontal="center" vertical="center" wrapText="1"/>
    </xf>
    <xf numFmtId="0" fontId="7" fillId="0" borderId="0" xfId="0" applyFont="1"/>
    <xf numFmtId="0" fontId="6" fillId="0" borderId="0" xfId="0" applyFont="1"/>
    <xf numFmtId="0" fontId="17" fillId="0" borderId="46" xfId="0" applyFont="1" applyBorder="1" applyProtection="1">
      <protection locked="0"/>
    </xf>
    <xf numFmtId="0" fontId="17" fillId="0" borderId="47" xfId="0" applyFont="1" applyBorder="1" applyProtection="1">
      <protection locked="0"/>
    </xf>
    <xf numFmtId="0" fontId="17" fillId="0" borderId="24" xfId="0" applyFont="1" applyBorder="1" applyProtection="1">
      <protection locked="0"/>
    </xf>
    <xf numFmtId="0" fontId="4" fillId="0" borderId="46" xfId="0" applyFont="1" applyBorder="1" applyProtection="1">
      <protection locked="0"/>
    </xf>
    <xf numFmtId="0" fontId="119" fillId="0" borderId="0" xfId="0" applyFont="1" applyAlignment="1">
      <alignment horizontal="center"/>
    </xf>
    <xf numFmtId="0" fontId="31" fillId="30" borderId="0" xfId="0" applyFont="1" applyFill="1" applyAlignment="1">
      <alignment horizontal="left" wrapText="1"/>
    </xf>
    <xf numFmtId="0" fontId="31" fillId="30" borderId="62" xfId="0" applyFont="1" applyFill="1" applyBorder="1" applyAlignment="1">
      <alignment horizontal="left" wrapText="1"/>
    </xf>
    <xf numFmtId="0" fontId="48" fillId="30" borderId="0" xfId="0" applyFont="1" applyFill="1" applyAlignment="1">
      <alignment horizontal="center" wrapText="1"/>
    </xf>
    <xf numFmtId="164" fontId="48" fillId="30" borderId="0" xfId="0" applyNumberFormat="1" applyFont="1" applyFill="1" applyAlignment="1">
      <alignment horizontal="right"/>
    </xf>
    <xf numFmtId="164" fontId="48" fillId="30" borderId="62" xfId="0" applyNumberFormat="1" applyFont="1" applyFill="1" applyBorder="1" applyAlignment="1">
      <alignment horizontal="right"/>
    </xf>
    <xf numFmtId="0" fontId="1" fillId="0" borderId="47" xfId="0" applyFont="1" applyBorder="1" applyAlignment="1" applyProtection="1">
      <alignment horizontal="left"/>
      <protection locked="0"/>
    </xf>
    <xf numFmtId="0" fontId="1" fillId="0" borderId="24" xfId="0" applyFont="1" applyBorder="1" applyAlignment="1" applyProtection="1">
      <alignment horizontal="left"/>
      <protection locked="0"/>
    </xf>
    <xf numFmtId="170" fontId="17" fillId="0" borderId="46" xfId="0" applyNumberFormat="1" applyFont="1" applyBorder="1" applyAlignment="1" applyProtection="1">
      <alignment horizontal="left"/>
      <protection locked="0"/>
    </xf>
    <xf numFmtId="170" fontId="17" fillId="0" borderId="47" xfId="0" applyNumberFormat="1" applyFont="1" applyBorder="1" applyAlignment="1" applyProtection="1">
      <alignment horizontal="left"/>
      <protection locked="0"/>
    </xf>
    <xf numFmtId="170" fontId="17" fillId="0" borderId="24" xfId="0" applyNumberFormat="1" applyFont="1" applyBorder="1" applyAlignment="1" applyProtection="1">
      <alignment horizontal="left"/>
      <protection locked="0"/>
    </xf>
    <xf numFmtId="0" fontId="17" fillId="7" borderId="66" xfId="0" applyFont="1" applyFill="1" applyBorder="1" applyAlignment="1" applyProtection="1">
      <alignment horizontal="left" vertical="top" wrapText="1" indent="2"/>
      <protection hidden="1"/>
    </xf>
    <xf numFmtId="0" fontId="17" fillId="7" borderId="67" xfId="0" applyFont="1" applyFill="1" applyBorder="1" applyAlignment="1" applyProtection="1">
      <alignment horizontal="left" vertical="top" wrapText="1" indent="2"/>
      <protection hidden="1"/>
    </xf>
    <xf numFmtId="0" fontId="17" fillId="7" borderId="68" xfId="0" applyFont="1" applyFill="1" applyBorder="1" applyAlignment="1" applyProtection="1">
      <alignment horizontal="left" vertical="top" wrapText="1" indent="2"/>
      <protection hidden="1"/>
    </xf>
    <xf numFmtId="0" fontId="17" fillId="7" borderId="69" xfId="0" applyFont="1" applyFill="1" applyBorder="1" applyAlignment="1" applyProtection="1">
      <alignment horizontal="left" vertical="top" wrapText="1" indent="2"/>
      <protection hidden="1"/>
    </xf>
    <xf numFmtId="0" fontId="17" fillId="7" borderId="0" xfId="0" applyFont="1" applyFill="1" applyAlignment="1" applyProtection="1">
      <alignment horizontal="left" vertical="top" wrapText="1" indent="2"/>
      <protection hidden="1"/>
    </xf>
    <xf numFmtId="0" fontId="17" fillId="7" borderId="70" xfId="0" applyFont="1" applyFill="1" applyBorder="1" applyAlignment="1" applyProtection="1">
      <alignment horizontal="left" vertical="top" wrapText="1" indent="2"/>
      <protection hidden="1"/>
    </xf>
    <xf numFmtId="0" fontId="17" fillId="7" borderId="71" xfId="0" applyFont="1" applyFill="1" applyBorder="1" applyAlignment="1" applyProtection="1">
      <alignment horizontal="left" vertical="top" wrapText="1" indent="2"/>
      <protection hidden="1"/>
    </xf>
    <xf numFmtId="0" fontId="17" fillId="7" borderId="72" xfId="0" applyFont="1" applyFill="1" applyBorder="1" applyAlignment="1" applyProtection="1">
      <alignment horizontal="left" vertical="top" wrapText="1" indent="2"/>
      <protection hidden="1"/>
    </xf>
    <xf numFmtId="0" fontId="17" fillId="7" borderId="73" xfId="0" applyFont="1" applyFill="1" applyBorder="1" applyAlignment="1" applyProtection="1">
      <alignment horizontal="left" vertical="top" wrapText="1" indent="2"/>
      <protection hidden="1"/>
    </xf>
    <xf numFmtId="0" fontId="13" fillId="0" borderId="46" xfId="1" applyBorder="1" applyAlignment="1" applyProtection="1">
      <alignment horizontal="left"/>
      <protection locked="0"/>
    </xf>
    <xf numFmtId="0" fontId="104" fillId="30" borderId="69" xfId="0" applyFont="1" applyFill="1" applyBorder="1" applyAlignment="1">
      <alignment horizontal="center"/>
    </xf>
    <xf numFmtId="0" fontId="104" fillId="30" borderId="0" xfId="0" applyFont="1" applyFill="1" applyAlignment="1">
      <alignment horizontal="center"/>
    </xf>
    <xf numFmtId="0" fontId="104" fillId="30" borderId="70" xfId="0" applyFont="1" applyFill="1" applyBorder="1" applyAlignment="1">
      <alignment horizontal="center"/>
    </xf>
    <xf numFmtId="176" fontId="17" fillId="0" borderId="46" xfId="0" applyNumberFormat="1" applyFont="1" applyBorder="1" applyAlignment="1" applyProtection="1">
      <alignment horizontal="left"/>
      <protection locked="0"/>
    </xf>
    <xf numFmtId="176" fontId="17" fillId="0" borderId="47" xfId="0" applyNumberFormat="1" applyFont="1" applyBorder="1" applyAlignment="1" applyProtection="1">
      <alignment horizontal="left"/>
      <protection locked="0"/>
    </xf>
    <xf numFmtId="176" fontId="17" fillId="0" borderId="24" xfId="0" applyNumberFormat="1" applyFont="1" applyBorder="1" applyAlignment="1" applyProtection="1">
      <alignment horizontal="left"/>
      <protection locked="0"/>
    </xf>
    <xf numFmtId="0" fontId="106" fillId="0" borderId="0" xfId="0" applyFont="1" applyAlignment="1">
      <alignment horizontal="center" vertical="center" wrapText="1"/>
    </xf>
    <xf numFmtId="174" fontId="17" fillId="0" borderId="46" xfId="0" applyNumberFormat="1" applyFont="1" applyBorder="1" applyProtection="1">
      <protection locked="0" hidden="1"/>
    </xf>
    <xf numFmtId="174" fontId="17" fillId="0" borderId="47" xfId="0" applyNumberFormat="1" applyFont="1" applyBorder="1" applyProtection="1">
      <protection locked="0" hidden="1"/>
    </xf>
    <xf numFmtId="174" fontId="17" fillId="0" borderId="24" xfId="0" applyNumberFormat="1" applyFont="1" applyBorder="1" applyProtection="1">
      <protection locked="0" hidden="1"/>
    </xf>
    <xf numFmtId="0" fontId="1" fillId="0" borderId="69" xfId="0" applyFont="1" applyBorder="1" applyAlignment="1">
      <alignment horizontal="center"/>
    </xf>
    <xf numFmtId="0" fontId="1" fillId="0" borderId="86" xfId="0" applyFont="1" applyBorder="1" applyAlignment="1">
      <alignment horizontal="center"/>
    </xf>
    <xf numFmtId="0" fontId="1" fillId="0" borderId="93" xfId="0" applyFont="1" applyBorder="1" applyAlignment="1" applyProtection="1">
      <alignment horizontal="center" wrapText="1"/>
      <protection locked="0"/>
    </xf>
    <xf numFmtId="0" fontId="1" fillId="0" borderId="82" xfId="0" applyFont="1" applyBorder="1" applyAlignment="1" applyProtection="1">
      <alignment horizontal="center" wrapText="1"/>
      <protection locked="0"/>
    </xf>
    <xf numFmtId="0" fontId="1" fillId="0" borderId="94" xfId="0" applyFont="1" applyBorder="1" applyAlignment="1" applyProtection="1">
      <alignment horizontal="center" wrapText="1"/>
      <protection locked="0"/>
    </xf>
    <xf numFmtId="0" fontId="1" fillId="0" borderId="95" xfId="0" applyFont="1" applyBorder="1" applyAlignment="1" applyProtection="1">
      <alignment horizontal="center" wrapText="1"/>
      <protection locked="0"/>
    </xf>
    <xf numFmtId="0" fontId="16" fillId="0" borderId="70" xfId="0" applyFont="1" applyBorder="1" applyAlignment="1">
      <alignment horizontal="center"/>
    </xf>
    <xf numFmtId="0" fontId="1" fillId="0" borderId="71" xfId="0" applyFont="1" applyBorder="1" applyAlignment="1" applyProtection="1">
      <alignment horizontal="center" wrapText="1"/>
      <protection locked="0"/>
    </xf>
    <xf numFmtId="0" fontId="1" fillId="0" borderId="72" xfId="0" applyFont="1" applyBorder="1" applyAlignment="1" applyProtection="1">
      <alignment horizontal="center" wrapText="1"/>
      <protection locked="0"/>
    </xf>
    <xf numFmtId="0" fontId="1" fillId="0" borderId="96" xfId="0" applyFont="1" applyBorder="1" applyAlignment="1" applyProtection="1">
      <alignment horizontal="center" wrapText="1"/>
      <protection locked="0"/>
    </xf>
    <xf numFmtId="0" fontId="1" fillId="0" borderId="97" xfId="0" applyFont="1" applyBorder="1" applyAlignment="1" applyProtection="1">
      <alignment horizontal="center" wrapText="1"/>
      <protection locked="0"/>
    </xf>
    <xf numFmtId="0" fontId="1" fillId="0" borderId="46" xfId="0" applyFont="1" applyBorder="1" applyAlignment="1" applyProtection="1">
      <alignment horizontal="left"/>
      <protection locked="0" hidden="1"/>
    </xf>
    <xf numFmtId="0" fontId="133" fillId="0" borderId="0" xfId="0" applyFont="1" applyAlignment="1">
      <alignment horizontal="center" vertical="center"/>
    </xf>
    <xf numFmtId="0" fontId="133" fillId="0" borderId="0" xfId="0" applyFont="1" applyAlignment="1">
      <alignment horizontal="center" wrapText="1"/>
    </xf>
    <xf numFmtId="0" fontId="16" fillId="36" borderId="0" xfId="0" applyFont="1" applyFill="1" applyAlignment="1">
      <alignment horizontal="left" vertical="top"/>
    </xf>
    <xf numFmtId="0" fontId="17" fillId="36" borderId="0" xfId="0" applyFont="1" applyFill="1" applyAlignment="1">
      <alignment horizontal="left" vertical="top"/>
    </xf>
    <xf numFmtId="170" fontId="30" fillId="36" borderId="0" xfId="0" applyNumberFormat="1" applyFont="1" applyFill="1" applyAlignment="1">
      <alignment horizontal="left" vertical="top" wrapText="1"/>
    </xf>
    <xf numFmtId="0" fontId="30" fillId="36" borderId="0" xfId="0" applyFont="1" applyFill="1" applyAlignment="1">
      <alignment horizontal="left" vertical="top" wrapText="1"/>
    </xf>
    <xf numFmtId="0" fontId="50" fillId="0" borderId="0" xfId="0" applyFont="1" applyAlignment="1">
      <alignment horizontal="center"/>
    </xf>
    <xf numFmtId="0" fontId="70" fillId="30" borderId="0" xfId="0" applyFont="1" applyFill="1" applyAlignment="1">
      <alignment horizontal="left" vertical="center"/>
    </xf>
    <xf numFmtId="0" fontId="70" fillId="30" borderId="64" xfId="0" applyFont="1" applyFill="1" applyBorder="1" applyAlignment="1">
      <alignment horizontal="left" vertical="center"/>
    </xf>
    <xf numFmtId="0" fontId="72" fillId="0" borderId="0" xfId="0" applyFont="1" applyAlignment="1">
      <alignment horizontal="center"/>
    </xf>
    <xf numFmtId="0" fontId="17" fillId="0" borderId="0" xfId="2" applyFont="1" applyAlignment="1" applyProtection="1">
      <alignment horizontal="center" vertical="center" wrapText="1"/>
    </xf>
    <xf numFmtId="0" fontId="17" fillId="0" borderId="0" xfId="2" applyFont="1" applyAlignment="1" applyProtection="1">
      <alignment horizontal="center" vertical="top"/>
    </xf>
    <xf numFmtId="0" fontId="1" fillId="0" borderId="0" xfId="0" applyFont="1" applyAlignment="1">
      <alignment horizontal="center" vertical="center" wrapText="1"/>
    </xf>
    <xf numFmtId="0" fontId="71" fillId="0" borderId="0" xfId="0" applyFont="1" applyAlignment="1">
      <alignment horizontal="center" vertical="center"/>
    </xf>
    <xf numFmtId="0" fontId="16" fillId="0" borderId="0" xfId="0" applyFont="1" applyAlignment="1">
      <alignment horizontal="center" vertical="center"/>
    </xf>
    <xf numFmtId="0" fontId="48" fillId="30" borderId="0" xfId="0" applyFont="1" applyFill="1" applyAlignment="1">
      <alignment horizontal="center" vertical="center"/>
    </xf>
    <xf numFmtId="14" fontId="74" fillId="0" borderId="0" xfId="0" applyNumberFormat="1" applyFont="1" applyAlignment="1" applyProtection="1">
      <alignment horizontal="center" wrapText="1"/>
      <protection locked="0"/>
    </xf>
    <xf numFmtId="14" fontId="74" fillId="0" borderId="13" xfId="0" applyNumberFormat="1" applyFont="1" applyBorder="1" applyAlignment="1" applyProtection="1">
      <alignment horizontal="center" wrapText="1"/>
      <protection locked="0"/>
    </xf>
    <xf numFmtId="0" fontId="29" fillId="0" borderId="0" xfId="0" applyFont="1" applyAlignment="1">
      <alignment horizontal="left" vertical="top" wrapText="1"/>
    </xf>
    <xf numFmtId="0" fontId="17" fillId="36" borderId="0" xfId="2" applyFont="1" applyFill="1" applyAlignment="1" applyProtection="1">
      <alignment horizontal="left" vertical="top"/>
      <protection locked="0"/>
    </xf>
    <xf numFmtId="0" fontId="23" fillId="36" borderId="0" xfId="2" applyFont="1" applyFill="1" applyAlignment="1" applyProtection="1">
      <alignment horizontal="left" vertical="top"/>
    </xf>
    <xf numFmtId="170" fontId="17" fillId="36" borderId="0" xfId="0" applyNumberFormat="1" applyFont="1" applyFill="1" applyAlignment="1">
      <alignment horizontal="left" vertical="top"/>
    </xf>
    <xf numFmtId="0" fontId="71" fillId="36" borderId="0" xfId="0" applyFont="1" applyFill="1" applyAlignment="1">
      <alignment horizontal="left" vertical="top"/>
    </xf>
    <xf numFmtId="0" fontId="71" fillId="36" borderId="0" xfId="0" applyFont="1" applyFill="1" applyAlignment="1">
      <alignment horizontal="left" vertical="center" wrapText="1"/>
    </xf>
    <xf numFmtId="0" fontId="123" fillId="0" borderId="82" xfId="0" applyFont="1" applyBorder="1" applyAlignment="1">
      <alignment horizontal="left" vertical="center"/>
    </xf>
    <xf numFmtId="0" fontId="123" fillId="0" borderId="64" xfId="0" applyFont="1" applyBorder="1" applyAlignment="1">
      <alignment horizontal="left" vertical="center"/>
    </xf>
    <xf numFmtId="0" fontId="46" fillId="36" borderId="0" xfId="0" applyFont="1" applyFill="1" applyAlignment="1">
      <alignment horizontal="left" vertical="top" wrapText="1"/>
    </xf>
    <xf numFmtId="0" fontId="125" fillId="30" borderId="82" xfId="0" applyFont="1" applyFill="1" applyBorder="1" applyAlignment="1">
      <alignment horizontal="left" vertical="center" wrapText="1"/>
    </xf>
    <xf numFmtId="0" fontId="125" fillId="30" borderId="83" xfId="0" applyFont="1" applyFill="1" applyBorder="1" applyAlignment="1">
      <alignment horizontal="left" vertical="center" wrapText="1"/>
    </xf>
    <xf numFmtId="0" fontId="125" fillId="30" borderId="0" xfId="0" applyFont="1" applyFill="1" applyAlignment="1">
      <alignment horizontal="left" vertical="center" wrapText="1"/>
    </xf>
    <xf numFmtId="0" fontId="125" fillId="30" borderId="62" xfId="0" applyFont="1" applyFill="1" applyBorder="1" applyAlignment="1">
      <alignment horizontal="left" vertical="center" wrapText="1"/>
    </xf>
    <xf numFmtId="0" fontId="47" fillId="36" borderId="0" xfId="0" applyFont="1" applyFill="1" applyAlignment="1">
      <alignment horizontal="left" vertical="center" wrapText="1"/>
    </xf>
    <xf numFmtId="14" fontId="17" fillId="36" borderId="0" xfId="2" applyNumberFormat="1" applyFont="1" applyFill="1" applyAlignment="1" applyProtection="1">
      <alignment horizontal="left" vertical="top"/>
      <protection locked="0"/>
    </xf>
    <xf numFmtId="0" fontId="22" fillId="36" borderId="0" xfId="2" applyFont="1" applyFill="1" applyAlignment="1" applyProtection="1">
      <alignment horizontal="center" vertical="center" wrapText="1"/>
    </xf>
    <xf numFmtId="169" fontId="120" fillId="0" borderId="0" xfId="0" applyNumberFormat="1" applyFont="1" applyAlignment="1">
      <alignment horizontal="center" vertical="top"/>
    </xf>
    <xf numFmtId="0" fontId="126" fillId="0" borderId="0" xfId="0" applyFont="1" applyAlignment="1">
      <alignment horizontal="center" vertical="center" wrapText="1"/>
    </xf>
    <xf numFmtId="166" fontId="120" fillId="0" borderId="0" xfId="0" applyNumberFormat="1" applyFont="1" applyAlignment="1">
      <alignment horizontal="center" vertical="top"/>
    </xf>
    <xf numFmtId="0" fontId="16" fillId="0" borderId="0" xfId="0" applyFont="1" applyAlignment="1">
      <alignment horizontal="left" vertical="top"/>
    </xf>
    <xf numFmtId="0" fontId="76" fillId="0" borderId="0" xfId="0" applyFont="1" applyAlignment="1">
      <alignment horizontal="left" vertical="top"/>
    </xf>
    <xf numFmtId="0" fontId="29" fillId="0" borderId="0" xfId="0" applyFont="1" applyAlignment="1">
      <alignment horizontal="justify" vertical="top" wrapText="1"/>
    </xf>
    <xf numFmtId="0" fontId="72" fillId="0" borderId="0" xfId="0" applyFont="1" applyAlignment="1">
      <alignment horizontal="center" wrapText="1"/>
    </xf>
    <xf numFmtId="0" fontId="74" fillId="0" borderId="0" xfId="0" applyFont="1" applyAlignment="1" applyProtection="1">
      <alignment horizontal="center" wrapText="1"/>
      <protection locked="0"/>
    </xf>
    <xf numFmtId="0" fontId="74" fillId="0" borderId="13" xfId="0" applyFont="1" applyBorder="1" applyAlignment="1" applyProtection="1">
      <alignment horizontal="center" wrapText="1"/>
      <protection locked="0"/>
    </xf>
    <xf numFmtId="0" fontId="123" fillId="0" borderId="0" xfId="0" applyFont="1" applyAlignment="1">
      <alignment horizontal="left" vertical="center"/>
    </xf>
    <xf numFmtId="0" fontId="7" fillId="0" borderId="0" xfId="0" applyFont="1" applyAlignment="1">
      <alignment horizontal="left" wrapText="1"/>
    </xf>
    <xf numFmtId="0" fontId="17" fillId="0" borderId="0" xfId="0" applyFont="1" applyAlignment="1">
      <alignment horizontal="left" vertical="center" wrapText="1"/>
    </xf>
    <xf numFmtId="0" fontId="17" fillId="16" borderId="20" xfId="0" applyFont="1" applyFill="1" applyBorder="1"/>
    <xf numFmtId="0" fontId="55" fillId="8" borderId="21" xfId="0" applyFont="1" applyFill="1" applyBorder="1" applyAlignment="1">
      <alignment vertical="center"/>
    </xf>
    <xf numFmtId="0" fontId="55" fillId="8" borderId="22" xfId="0" applyFont="1" applyFill="1" applyBorder="1" applyAlignment="1">
      <alignment vertical="center"/>
    </xf>
    <xf numFmtId="170" fontId="17" fillId="3" borderId="20" xfId="0" applyNumberFormat="1" applyFont="1" applyFill="1" applyBorder="1" applyAlignment="1">
      <alignment horizontal="left" vertical="top"/>
    </xf>
    <xf numFmtId="0" fontId="17" fillId="3" borderId="20" xfId="0" applyFont="1" applyFill="1" applyBorder="1" applyAlignment="1">
      <alignment horizontal="left" vertical="top"/>
    </xf>
    <xf numFmtId="0" fontId="17" fillId="3" borderId="20" xfId="0" applyFont="1" applyFill="1" applyBorder="1"/>
    <xf numFmtId="165" fontId="17" fillId="3" borderId="20" xfId="0" applyNumberFormat="1" applyFont="1" applyFill="1" applyBorder="1" applyAlignment="1">
      <alignment horizontal="left" vertical="top"/>
    </xf>
    <xf numFmtId="0" fontId="8" fillId="3" borderId="20" xfId="0" applyFont="1" applyFill="1" applyBorder="1"/>
    <xf numFmtId="0" fontId="17" fillId="9" borderId="34" xfId="0" applyFont="1" applyFill="1" applyBorder="1" applyAlignment="1">
      <alignment horizontal="left" vertical="top" wrapText="1"/>
    </xf>
    <xf numFmtId="0" fontId="17" fillId="9" borderId="0" xfId="0" applyFont="1" applyFill="1" applyAlignment="1">
      <alignment horizontal="left" vertical="top" wrapText="1"/>
    </xf>
    <xf numFmtId="0" fontId="1" fillId="14" borderId="20" xfId="0" applyFont="1" applyFill="1" applyBorder="1"/>
    <xf numFmtId="0" fontId="17" fillId="14" borderId="20" xfId="0" applyFont="1" applyFill="1" applyBorder="1"/>
    <xf numFmtId="0" fontId="17" fillId="16" borderId="20" xfId="0" applyFont="1" applyFill="1" applyBorder="1" applyAlignment="1">
      <alignment horizontal="left" vertical="top"/>
    </xf>
    <xf numFmtId="0" fontId="17" fillId="14" borderId="20" xfId="0" applyFont="1" applyFill="1" applyBorder="1" applyAlignment="1">
      <alignment horizontal="left" vertical="top"/>
    </xf>
    <xf numFmtId="170" fontId="17" fillId="14" borderId="20" xfId="0" applyNumberFormat="1" applyFont="1" applyFill="1" applyBorder="1" applyAlignment="1">
      <alignment horizontal="left" vertical="top"/>
    </xf>
    <xf numFmtId="165" fontId="17" fillId="14" borderId="20" xfId="0" applyNumberFormat="1" applyFont="1" applyFill="1" applyBorder="1" applyAlignment="1">
      <alignment horizontal="left" vertical="top"/>
    </xf>
    <xf numFmtId="0" fontId="17" fillId="16" borderId="21" xfId="0" applyFont="1" applyFill="1" applyBorder="1" applyAlignment="1">
      <alignment horizontal="left" vertical="top"/>
    </xf>
    <xf numFmtId="0" fontId="17" fillId="16" borderId="22" xfId="0" applyFont="1" applyFill="1" applyBorder="1" applyAlignment="1">
      <alignment horizontal="left" vertical="top"/>
    </xf>
    <xf numFmtId="0" fontId="17" fillId="16" borderId="23" xfId="0" applyFont="1" applyFill="1" applyBorder="1" applyAlignment="1">
      <alignment horizontal="left" vertical="top"/>
    </xf>
    <xf numFmtId="0" fontId="1" fillId="16" borderId="20" xfId="0" applyFont="1" applyFill="1" applyBorder="1"/>
    <xf numFmtId="0" fontId="1" fillId="13" borderId="20" xfId="0" applyFont="1" applyFill="1" applyBorder="1" applyAlignment="1">
      <alignment horizontal="left" vertical="top"/>
    </xf>
    <xf numFmtId="0" fontId="17" fillId="13" borderId="20" xfId="0" applyFont="1" applyFill="1" applyBorder="1" applyAlignment="1">
      <alignment horizontal="left" vertical="top"/>
    </xf>
    <xf numFmtId="0" fontId="17" fillId="13" borderId="20" xfId="0" applyFont="1" applyFill="1" applyBorder="1"/>
    <xf numFmtId="0" fontId="17" fillId="15" borderId="20" xfId="0" applyFont="1" applyFill="1" applyBorder="1"/>
    <xf numFmtId="0" fontId="55" fillId="8" borderId="20" xfId="0" applyFont="1" applyFill="1" applyBorder="1" applyAlignment="1">
      <alignment vertical="center"/>
    </xf>
    <xf numFmtId="0" fontId="17" fillId="15" borderId="20" xfId="0" applyFont="1" applyFill="1" applyBorder="1" applyAlignment="1">
      <alignment horizontal="left" vertical="top"/>
    </xf>
    <xf numFmtId="0" fontId="50" fillId="0" borderId="0" xfId="0" applyFont="1" applyAlignment="1">
      <alignment horizontal="center" vertical="center"/>
    </xf>
    <xf numFmtId="170" fontId="17" fillId="15" borderId="20" xfId="0" applyNumberFormat="1" applyFont="1" applyFill="1" applyBorder="1" applyAlignment="1">
      <alignment horizontal="left" vertical="top"/>
    </xf>
    <xf numFmtId="165" fontId="17" fillId="16" borderId="20" xfId="0" applyNumberFormat="1" applyFont="1" applyFill="1" applyBorder="1" applyAlignment="1">
      <alignment horizontal="left" vertical="top"/>
    </xf>
    <xf numFmtId="3" fontId="30" fillId="7" borderId="20" xfId="0" applyNumberFormat="1" applyFont="1" applyFill="1" applyBorder="1" applyAlignment="1">
      <alignment horizontal="left" vertical="top"/>
    </xf>
    <xf numFmtId="0" fontId="17" fillId="0" borderId="20" xfId="0" applyFont="1" applyBorder="1" applyAlignment="1" applyProtection="1">
      <alignment horizontal="left" vertical="top"/>
      <protection locked="0"/>
    </xf>
    <xf numFmtId="167" fontId="17" fillId="0" borderId="20" xfId="0" applyNumberFormat="1" applyFont="1" applyBorder="1" applyAlignment="1" applyProtection="1">
      <alignment horizontal="left" vertical="top"/>
      <protection locked="0"/>
    </xf>
    <xf numFmtId="0" fontId="1" fillId="13" borderId="20" xfId="0" applyFont="1" applyFill="1" applyBorder="1"/>
    <xf numFmtId="0" fontId="17" fillId="0" borderId="20" xfId="0" applyFont="1" applyBorder="1" applyAlignment="1">
      <alignment horizontal="left" vertical="top"/>
    </xf>
    <xf numFmtId="0" fontId="30" fillId="7" borderId="20" xfId="0" applyFont="1" applyFill="1" applyBorder="1"/>
    <xf numFmtId="166" fontId="30" fillId="7" borderId="20" xfId="0" applyNumberFormat="1" applyFont="1" applyFill="1" applyBorder="1" applyAlignment="1">
      <alignment horizontal="left" vertical="top"/>
    </xf>
    <xf numFmtId="49" fontId="1" fillId="0" borderId="21" xfId="0" applyNumberFormat="1" applyFont="1" applyBorder="1" applyAlignment="1" applyProtection="1">
      <alignment horizontal="left" vertical="top"/>
      <protection locked="0"/>
    </xf>
    <xf numFmtId="49" fontId="1" fillId="0" borderId="22" xfId="0" applyNumberFormat="1" applyFont="1" applyBorder="1" applyAlignment="1" applyProtection="1">
      <alignment horizontal="left" vertical="top"/>
      <protection locked="0"/>
    </xf>
    <xf numFmtId="49" fontId="1" fillId="0" borderId="23" xfId="0" applyNumberFormat="1" applyFont="1" applyBorder="1" applyAlignment="1" applyProtection="1">
      <alignment horizontal="left" vertical="top"/>
      <protection locked="0"/>
    </xf>
    <xf numFmtId="49" fontId="17" fillId="0" borderId="21" xfId="0" applyNumberFormat="1" applyFont="1" applyBorder="1" applyAlignment="1" applyProtection="1">
      <alignment horizontal="left" vertical="top"/>
      <protection locked="0"/>
    </xf>
    <xf numFmtId="49" fontId="17" fillId="0" borderId="22" xfId="0" applyNumberFormat="1" applyFont="1" applyBorder="1" applyAlignment="1" applyProtection="1">
      <alignment horizontal="left" vertical="top"/>
      <protection locked="0"/>
    </xf>
    <xf numFmtId="49" fontId="17" fillId="0" borderId="23" xfId="0" applyNumberFormat="1" applyFont="1" applyBorder="1" applyAlignment="1" applyProtection="1">
      <alignment horizontal="left" vertical="top"/>
      <protection locked="0"/>
    </xf>
    <xf numFmtId="172" fontId="30" fillId="7" borderId="20" xfId="0" applyNumberFormat="1" applyFont="1" applyFill="1" applyBorder="1" applyAlignment="1">
      <alignment horizontal="left" vertical="top"/>
    </xf>
    <xf numFmtId="1" fontId="30" fillId="7" borderId="20" xfId="0" applyNumberFormat="1" applyFont="1" applyFill="1" applyBorder="1" applyAlignment="1">
      <alignment horizontal="left" vertical="top"/>
    </xf>
    <xf numFmtId="0" fontId="30" fillId="7" borderId="20" xfId="0" applyFont="1" applyFill="1" applyBorder="1" applyAlignment="1">
      <alignment horizontal="left" vertical="top"/>
    </xf>
    <xf numFmtId="166" fontId="30" fillId="7" borderId="21" xfId="0" applyNumberFormat="1" applyFont="1" applyFill="1" applyBorder="1" applyAlignment="1">
      <alignment horizontal="left" vertical="top"/>
    </xf>
    <xf numFmtId="174" fontId="30" fillId="7" borderId="22" xfId="0" applyNumberFormat="1" applyFont="1" applyFill="1" applyBorder="1" applyAlignment="1">
      <alignment horizontal="left" vertical="top"/>
    </xf>
    <xf numFmtId="174" fontId="30" fillId="7" borderId="23" xfId="0" applyNumberFormat="1" applyFont="1" applyFill="1" applyBorder="1" applyAlignment="1">
      <alignment horizontal="left" vertical="top"/>
    </xf>
  </cellXfs>
  <cellStyles count="9">
    <cellStyle name="Hyperlink" xfId="1" builtinId="8"/>
    <cellStyle name="Normal" xfId="0" builtinId="0"/>
    <cellStyle name="Normal 10" xfId="4" xr:uid="{00000000-0005-0000-0000-000004000000}"/>
    <cellStyle name="Normal 2" xfId="5" xr:uid="{00000000-0005-0000-0000-000005000000}"/>
    <cellStyle name="Normal 2 4 17" xfId="8" xr:uid="{00000000-0005-0000-0000-000006000000}"/>
    <cellStyle name="Normal 25" xfId="2" xr:uid="{00000000-0005-0000-0000-000007000000}"/>
    <cellStyle name="Normal 3" xfId="7" xr:uid="{00000000-0005-0000-0000-000008000000}"/>
    <cellStyle name="Percent" xfId="6" builtinId="5"/>
    <cellStyle name="Percent 3" xfId="3" xr:uid="{00000000-0005-0000-0000-00000A000000}"/>
  </cellStyles>
  <dxfs count="514">
    <dxf>
      <fill>
        <patternFill>
          <bgColor theme="5" tint="0.59996337778862885"/>
        </patternFill>
      </fill>
    </dxf>
    <dxf>
      <fill>
        <patternFill>
          <bgColor theme="5" tint="0.59996337778862885"/>
        </patternFill>
      </fill>
    </dxf>
    <dxf>
      <fill>
        <patternFill>
          <fgColor rgb="FFFAF5D6"/>
          <bgColor rgb="FFFAF5D6"/>
        </patternFill>
      </fill>
    </dxf>
    <dxf>
      <fill>
        <patternFill>
          <bgColor rgb="FFFAF5D6"/>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color theme="0"/>
      </font>
    </dxf>
    <dxf>
      <font>
        <b/>
        <i val="0"/>
        <strike val="0"/>
        <u val="none"/>
        <color auto="1"/>
      </font>
      <numFmt numFmtId="19" formatCode="m/d/yyyy"/>
    </dxf>
    <dxf>
      <fill>
        <patternFill>
          <bgColor theme="5" tint="0.59996337778862885"/>
        </patternFill>
      </fill>
    </dxf>
    <dxf>
      <font>
        <color theme="0"/>
      </font>
    </dxf>
    <dxf>
      <font>
        <b/>
        <i val="0"/>
        <strike val="0"/>
        <u val="none"/>
        <color auto="1"/>
      </font>
      <numFmt numFmtId="19" formatCode="m/d/yyyy"/>
    </dxf>
    <dxf>
      <font>
        <b/>
        <i val="0"/>
        <color rgb="FFFF0000"/>
      </font>
    </dxf>
    <dxf>
      <font>
        <b/>
        <i val="0"/>
        <color rgb="FFFF0000"/>
      </font>
    </dxf>
    <dxf>
      <fill>
        <patternFill>
          <bgColor rgb="FFFFD1D1"/>
        </patternFill>
      </fill>
    </dxf>
    <dxf>
      <fill>
        <patternFill>
          <bgColor rgb="FFFFD1D1"/>
        </patternFill>
      </fill>
    </dxf>
    <dxf>
      <fill>
        <patternFill>
          <bgColor rgb="FFFFD1D1"/>
        </patternFill>
      </fill>
    </dxf>
    <dxf>
      <fill>
        <patternFill>
          <bgColor rgb="FFFFD1D1"/>
        </patternFill>
      </fill>
    </dxf>
    <dxf>
      <font>
        <color auto="1"/>
      </font>
      <fill>
        <patternFill>
          <bgColor theme="0" tint="-0.24994659260841701"/>
        </patternFill>
      </fill>
    </dxf>
    <dxf>
      <fill>
        <patternFill>
          <bgColor theme="0" tint="-0.14996795556505021"/>
        </patternFill>
      </fill>
    </dxf>
    <dxf>
      <fill>
        <patternFill>
          <bgColor theme="7" tint="0.79998168889431442"/>
        </patternFill>
      </fill>
    </dxf>
    <dxf>
      <font>
        <color theme="0"/>
      </font>
      <border>
        <left/>
        <right/>
        <top/>
        <bottom/>
        <vertical/>
        <horizontal/>
      </border>
    </dxf>
    <dxf>
      <fill>
        <patternFill>
          <bgColor theme="0" tint="-0.14996795556505021"/>
        </patternFill>
      </fill>
    </dxf>
    <dxf>
      <font>
        <color theme="0"/>
      </font>
      <border>
        <left/>
        <right/>
        <top/>
        <bottom/>
        <vertical/>
        <horizontal/>
      </border>
    </dxf>
    <dxf>
      <font>
        <color theme="0"/>
      </font>
      <border>
        <left/>
        <right/>
        <top/>
        <bottom/>
        <vertical/>
        <horizontal/>
      </border>
    </dxf>
    <dxf>
      <font>
        <color theme="0"/>
      </font>
      <fill>
        <patternFill patternType="none">
          <bgColor auto="1"/>
        </patternFill>
      </fill>
      <border>
        <left/>
        <right/>
        <top/>
        <bottom/>
      </border>
    </dxf>
    <dxf>
      <fill>
        <patternFill>
          <bgColor rgb="FFFFD1D1"/>
        </patternFill>
      </fill>
    </dxf>
    <dxf>
      <fill>
        <patternFill>
          <bgColor rgb="FFFFD1D1"/>
        </patternFill>
      </fill>
    </dxf>
    <dxf>
      <fill>
        <patternFill>
          <bgColor theme="9" tint="0.59996337778862885"/>
        </patternFill>
      </fill>
    </dxf>
    <dxf>
      <fill>
        <patternFill>
          <bgColor rgb="FFFFD1D1"/>
        </patternFill>
      </fill>
    </dxf>
    <dxf>
      <fill>
        <patternFill>
          <bgColor rgb="FFFFD1D1"/>
        </patternFill>
      </fill>
    </dxf>
    <dxf>
      <fill>
        <patternFill>
          <bgColor theme="9" tint="0.59996337778862885"/>
        </patternFill>
      </fill>
    </dxf>
    <dxf>
      <font>
        <strike val="0"/>
        <color theme="0"/>
      </font>
      <fill>
        <patternFill patternType="none">
          <bgColor auto="1"/>
        </patternFill>
      </fill>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rgb="FF00B050"/>
      </font>
    </dxf>
    <dxf>
      <font>
        <b/>
        <i/>
        <color rgb="FFFF0000"/>
      </font>
    </dxf>
    <dxf>
      <font>
        <color rgb="FF92D050"/>
      </font>
    </dxf>
    <dxf>
      <font>
        <color rgb="FFF7941E"/>
      </font>
    </dxf>
    <dxf>
      <font>
        <color rgb="FFC4123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alignment horizontal="general" vertical="bottom" textRotation="0" wrapText="1" indent="0" justifyLastLine="0" shrinkToFit="0" readingOrder="0"/>
      <protection locked="1" hidden="0"/>
    </dxf>
    <dxf>
      <numFmt numFmtId="173" formatCode="0.0000000000"/>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0"/>
        <color theme="1"/>
        <name val="Calibri Light"/>
        <family val="2"/>
        <scheme val="none"/>
      </font>
      <numFmt numFmtId="0" formatCode="General"/>
      <alignment horizontal="general" vertical="bottom" textRotation="0" wrapText="0" indent="0" justifyLastLine="0" shrinkToFit="0" readingOrder="0"/>
      <border diagonalUp="0" diagonalDown="0" outline="0">
        <left style="thin">
          <color theme="4" tint="0.39997558519241921"/>
        </left>
        <right style="thin">
          <color theme="4" tint="0.39997558519241921"/>
        </right>
        <top/>
        <bottom/>
      </border>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dxf>
    <dxf>
      <font>
        <b val="0"/>
        <i val="0"/>
        <strike val="0"/>
        <condense val="0"/>
        <extend val="0"/>
        <outline val="0"/>
        <shadow val="0"/>
        <u val="none"/>
        <vertAlign val="baseline"/>
        <sz val="10"/>
        <color rgb="FFFF0000"/>
        <name val="Calibri Light"/>
        <family val="2"/>
        <scheme val="none"/>
      </font>
      <numFmt numFmtId="0" formatCode="General"/>
      <alignment horizontal="general" vertical="bottom" textRotation="0" wrapText="0" indent="0" justifyLastLine="0" shrinkToFit="0" readingOrder="0"/>
      <border diagonalUp="0" diagonalDown="0">
        <left/>
        <right/>
        <top style="thin">
          <color theme="9"/>
        </top>
        <bottom/>
      </border>
    </dxf>
    <dxf>
      <font>
        <b val="0"/>
        <i val="0"/>
        <strike val="0"/>
        <condense val="0"/>
        <extend val="0"/>
        <outline val="0"/>
        <shadow val="0"/>
        <u val="none"/>
        <vertAlign val="baseline"/>
        <sz val="10"/>
        <color rgb="FFFF0000"/>
        <name val="Calibri Light"/>
        <family val="2"/>
        <scheme val="none"/>
      </font>
      <numFmt numFmtId="0" formatCode="General"/>
      <alignment horizontal="general" vertical="bottom" textRotation="0" wrapText="0" indent="0" justifyLastLine="0" shrinkToFit="0" readingOrder="0"/>
      <border diagonalUp="0" diagonalDown="0">
        <left/>
        <right/>
        <top style="thin">
          <color theme="9"/>
        </top>
        <bottom/>
      </border>
    </dxf>
    <dxf>
      <font>
        <b val="0"/>
        <i val="0"/>
        <strike val="0"/>
        <condense val="0"/>
        <extend val="0"/>
        <outline val="0"/>
        <shadow val="0"/>
        <u val="none"/>
        <vertAlign val="baseline"/>
        <sz val="10"/>
        <color rgb="FFFF0000"/>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rgb="FFFF0000"/>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rgb="FFFF0000"/>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rgb="FFFF0000"/>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theme="0"/>
        <name val="Calibri Light"/>
        <family val="2"/>
        <scheme val="none"/>
      </font>
      <fill>
        <patternFill patternType="none">
          <fgColor indexed="64"/>
          <bgColor indexed="65"/>
        </patternFill>
      </fill>
    </dxf>
    <dxf>
      <fill>
        <patternFill patternType="none">
          <fgColor indexed="64"/>
          <bgColor indexed="65"/>
        </patternFill>
      </fill>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b val="0"/>
        <i val="0"/>
        <strike val="0"/>
        <condense val="0"/>
        <extend val="0"/>
        <outline val="0"/>
        <shadow val="0"/>
        <u val="none"/>
        <vertAlign val="baseline"/>
        <sz val="10"/>
        <color theme="1"/>
        <name val="Calibri Light"/>
        <family val="2"/>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0"/>
        <color theme="0"/>
        <name val="Calibri Light"/>
        <family val="2"/>
        <scheme val="none"/>
      </font>
      <numFmt numFmtId="0" formatCode="General"/>
      <fill>
        <patternFill patternType="solid">
          <fgColor theme="4"/>
          <bgColor theme="4"/>
        </patternFill>
      </fill>
      <alignment horizontal="general" vertical="bottom" textRotation="0" wrapText="1"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ont>
        <b val="0"/>
        <i val="0"/>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font>
    </dxf>
    <dxf>
      <font>
        <b val="0"/>
      </font>
    </dxf>
    <dxf>
      <font>
        <b val="0"/>
        <i val="0"/>
        <strike val="0"/>
        <condense val="0"/>
        <extend val="0"/>
        <outline val="0"/>
        <shadow val="0"/>
        <u val="none"/>
        <vertAlign val="baseline"/>
        <sz val="10"/>
        <color theme="1"/>
        <name val="Calibri Light"/>
        <scheme val="none"/>
      </font>
    </dxf>
    <dxf>
      <font>
        <b val="0"/>
      </font>
    </dxf>
    <dxf>
      <font>
        <b val="0"/>
      </font>
    </dxf>
    <dxf>
      <font>
        <b val="0"/>
        <i val="0"/>
        <strike val="0"/>
        <condense val="0"/>
        <extend val="0"/>
        <outline val="0"/>
        <shadow val="0"/>
        <u val="none"/>
        <vertAlign val="baseline"/>
        <sz val="10"/>
        <color theme="0"/>
        <name val="Calibri Light"/>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FF0000"/>
        <name val="Calibri Light"/>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vertical/>
        <horizontal/>
      </border>
    </dxf>
    <dxf>
      <font>
        <i val="0"/>
        <strike val="0"/>
        <outline val="0"/>
        <shadow val="0"/>
        <u val="none"/>
        <vertAlign val="baseline"/>
        <sz val="10"/>
        <name val="Calibri Light"/>
        <family val="2"/>
        <scheme val="none"/>
      </font>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numFmt numFmtId="171" formatCode="0.0000"/>
    </dxf>
    <dxf>
      <numFmt numFmtId="168" formatCode="0.000"/>
    </dxf>
    <dxf>
      <numFmt numFmtId="168" formatCode="0.000"/>
    </dxf>
    <dxf>
      <numFmt numFmtId="168" formatCode="0.000"/>
    </dxf>
    <dxf>
      <numFmt numFmtId="168" formatCode="0.000"/>
    </dxf>
    <dxf>
      <numFmt numFmtId="168" formatCode="0.000"/>
    </dxf>
    <dxf>
      <numFmt numFmtId="168" formatCode="0.000"/>
    </dxf>
    <dxf>
      <numFmt numFmtId="168" formatCode="0.000"/>
    </dxf>
    <dxf>
      <numFmt numFmtId="168" formatCode="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30" formatCode="@"/>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s>
  <tableStyles count="0" defaultTableStyle="TableStyleMedium2" defaultPivotStyle="PivotStyleLight16"/>
  <colors>
    <mruColors>
      <color rgb="FF439639"/>
      <color rgb="FFC8EAC9"/>
      <color rgb="FFC8E0C9"/>
      <color rgb="FFFFD1D1"/>
      <color rgb="FFA0DBA1"/>
      <color rgb="FFA0DB39"/>
      <color rgb="FFA8DBA1"/>
      <color rgb="FFEE3224"/>
      <color rgb="FF1B6CB5"/>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97228445569026E-2"/>
          <c:y val="2.7703704026873187E-2"/>
          <c:w val="0.88439324854623558"/>
          <c:h val="0.77314850712334204"/>
        </c:manualLayout>
      </c:layout>
      <c:lineChart>
        <c:grouping val="standard"/>
        <c:varyColors val="0"/>
        <c:ser>
          <c:idx val="0"/>
          <c:order val="0"/>
          <c:tx>
            <c:strRef>
              <c:f>'M06-S01-2'!$AT$12</c:f>
              <c:strCache>
                <c:ptCount val="1"/>
                <c:pt idx="0">
                  <c:v>Cumulative Cost</c:v>
                </c:pt>
              </c:strCache>
            </c:strRef>
          </c:tx>
          <c:spPr>
            <a:ln w="28575" cap="rnd">
              <a:solidFill>
                <a:srgbClr val="17375E"/>
              </a:solidFill>
              <a:round/>
            </a:ln>
            <a:effectLst/>
          </c:spPr>
          <c:marker>
            <c:symbol val="circle"/>
            <c:size val="5"/>
            <c:spPr>
              <a:solidFill>
                <a:srgbClr val="17375E"/>
              </a:solidFill>
              <a:ln w="9525">
                <a:solidFill>
                  <a:srgbClr val="17375E"/>
                </a:solidFill>
              </a:ln>
              <a:effectLst/>
            </c:spPr>
          </c:marker>
          <c:cat>
            <c:strRef>
              <c:f>'M06-S01-2'!$AU$11:$AY$11</c:f>
              <c:strCache>
                <c:ptCount val="5"/>
                <c:pt idx="0">
                  <c:v>Year 1</c:v>
                </c:pt>
                <c:pt idx="1">
                  <c:v>Year 2</c:v>
                </c:pt>
                <c:pt idx="2">
                  <c:v>Year 3</c:v>
                </c:pt>
                <c:pt idx="3">
                  <c:v>Year 4</c:v>
                </c:pt>
                <c:pt idx="4">
                  <c:v>Year 5</c:v>
                </c:pt>
              </c:strCache>
            </c:strRef>
          </c:cat>
          <c:val>
            <c:numRef>
              <c:f>'M06-S01-2'!$AU$12:$AY$12</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DEB-4805-883B-2C83800B8C08}"/>
            </c:ext>
          </c:extLst>
        </c:ser>
        <c:ser>
          <c:idx val="1"/>
          <c:order val="1"/>
          <c:tx>
            <c:strRef>
              <c:f>'M06-S01-2'!$AT$13</c:f>
              <c:strCache>
                <c:ptCount val="1"/>
                <c:pt idx="0">
                  <c:v>Cumulative Savings</c:v>
                </c:pt>
              </c:strCache>
            </c:strRef>
          </c:tx>
          <c:spPr>
            <a:ln w="28575" cap="rnd">
              <a:solidFill>
                <a:srgbClr val="EE3224"/>
              </a:solidFill>
              <a:round/>
            </a:ln>
            <a:effectLst/>
          </c:spPr>
          <c:marker>
            <c:symbol val="circle"/>
            <c:size val="5"/>
            <c:spPr>
              <a:solidFill>
                <a:srgbClr val="EE3224"/>
              </a:solidFill>
              <a:ln w="9525">
                <a:solidFill>
                  <a:srgbClr val="EE3224"/>
                </a:solidFill>
              </a:ln>
              <a:effectLst/>
            </c:spPr>
          </c:marker>
          <c:cat>
            <c:strRef>
              <c:f>'M06-S01-2'!$AU$11:$AY$11</c:f>
              <c:strCache>
                <c:ptCount val="5"/>
                <c:pt idx="0">
                  <c:v>Year 1</c:v>
                </c:pt>
                <c:pt idx="1">
                  <c:v>Year 2</c:v>
                </c:pt>
                <c:pt idx="2">
                  <c:v>Year 3</c:v>
                </c:pt>
                <c:pt idx="3">
                  <c:v>Year 4</c:v>
                </c:pt>
                <c:pt idx="4">
                  <c:v>Year 5</c:v>
                </c:pt>
              </c:strCache>
            </c:strRef>
          </c:cat>
          <c:val>
            <c:numRef>
              <c:f>'M06-S01-2'!$AU$13:$AY$13</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ADEB-4805-883B-2C83800B8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69254928"/>
        <c:axId val="610822704"/>
      </c:lineChart>
      <c:catAx>
        <c:axId val="669254928"/>
        <c:scaling>
          <c:orientation val="minMax"/>
        </c:scaling>
        <c:delete val="0"/>
        <c:axPos val="b"/>
        <c:numFmt formatCode="General" sourceLinked="1"/>
        <c:majorTickMark val="none"/>
        <c:minorTickMark val="none"/>
        <c:tickLblPos val="nextTo"/>
        <c:spPr>
          <a:noFill/>
          <a:ln w="9525" cap="flat" cmpd="sng" algn="ctr">
            <a:solidFill>
              <a:srgbClr val="1B6CB5"/>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822704"/>
        <c:crosses val="autoZero"/>
        <c:auto val="1"/>
        <c:lblAlgn val="ctr"/>
        <c:lblOffset val="100"/>
        <c:noMultiLvlLbl val="0"/>
      </c:catAx>
      <c:valAx>
        <c:axId val="610822704"/>
        <c:scaling>
          <c:orientation val="minMax"/>
        </c:scaling>
        <c:delete val="0"/>
        <c:axPos val="l"/>
        <c:majorGridlines>
          <c:spPr>
            <a:ln w="9525" cap="flat" cmpd="sng" algn="ctr">
              <a:solidFill>
                <a:srgbClr val="1B6CB5"/>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Cost or Savings</a:t>
                </a:r>
              </a:p>
            </c:rich>
          </c:tx>
          <c:layout>
            <c:manualLayout>
              <c:xMode val="edge"/>
              <c:yMode val="edge"/>
              <c:x val="2.6518878958077311E-2"/>
              <c:y val="0.324555840578135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254928"/>
        <c:crosses val="autoZero"/>
        <c:crossBetween val="between"/>
      </c:valAx>
      <c:dTable>
        <c:showHorzBorder val="1"/>
        <c:showVertBorder val="1"/>
        <c:showOutline val="1"/>
        <c:showKeys val="1"/>
        <c:spPr>
          <a:noFill/>
          <a:ln w="9525" cap="flat" cmpd="sng" algn="ctr">
            <a:no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a:glow rad="101600">
        <a:srgbClr val="1B6CB5">
          <a:alpha val="60000"/>
        </a:srgbClr>
      </a:glo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TEMPLATE!$C$134" lockText="1" noThreeD="1"/>
</file>

<file path=xl/ctrlProps/ctrlProp4.xml><?xml version="1.0" encoding="utf-8"?>
<formControlPr xmlns="http://schemas.microsoft.com/office/spreadsheetml/2009/9/main" objectType="CheckBox" fmlaLink="TEMPLATE!$C$135" lockText="1" noThreeD="1"/>
</file>

<file path=xl/drawings/_rels/drawing1.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6-S01'!A1"/><Relationship Id="rId18" Type="http://schemas.openxmlformats.org/officeDocument/2006/relationships/image" Target="../media/image5.png"/><Relationship Id="rId3" Type="http://schemas.openxmlformats.org/officeDocument/2006/relationships/hyperlink" Target="#'M05-S06'!A1"/><Relationship Id="rId21" Type="http://schemas.openxmlformats.org/officeDocument/2006/relationships/hyperlink" Target="#'M06-S01-2'!A1"/><Relationship Id="rId7" Type="http://schemas.openxmlformats.org/officeDocument/2006/relationships/hyperlink" Target="#'M06-S02'!A1"/><Relationship Id="rId12" Type="http://schemas.openxmlformats.org/officeDocument/2006/relationships/hyperlink" Target="#'M05-S01'!A1"/><Relationship Id="rId17" Type="http://schemas.openxmlformats.org/officeDocument/2006/relationships/image" Target="../media/image4.png"/><Relationship Id="rId2" Type="http://schemas.openxmlformats.org/officeDocument/2006/relationships/hyperlink" Target="#'M06-S04'!A1"/><Relationship Id="rId16" Type="http://schemas.openxmlformats.org/officeDocument/2006/relationships/image" Target="../media/image3.png"/><Relationship Id="rId20" Type="http://schemas.openxmlformats.org/officeDocument/2006/relationships/image" Target="../media/image7.png"/><Relationship Id="rId1" Type="http://schemas.openxmlformats.org/officeDocument/2006/relationships/hyperlink" Target="#'M06-S05'!A1"/><Relationship Id="rId6" Type="http://schemas.openxmlformats.org/officeDocument/2006/relationships/hyperlink" Target="#'M05-S08'!A1"/><Relationship Id="rId11" Type="http://schemas.openxmlformats.org/officeDocument/2006/relationships/hyperlink" Target="#'M04-S01'!A1"/><Relationship Id="rId5" Type="http://schemas.openxmlformats.org/officeDocument/2006/relationships/hyperlink" Target="#'M05-S03'!A1"/><Relationship Id="rId15" Type="http://schemas.openxmlformats.org/officeDocument/2006/relationships/image" Target="../media/image2.png"/><Relationship Id="rId10" Type="http://schemas.openxmlformats.org/officeDocument/2006/relationships/hyperlink" Target="#'M03-S01'!A1"/><Relationship Id="rId19" Type="http://schemas.openxmlformats.org/officeDocument/2006/relationships/image" Target="../media/image6.png"/><Relationship Id="rId4" Type="http://schemas.openxmlformats.org/officeDocument/2006/relationships/hyperlink" Target="#'M05-S07'!A1"/><Relationship Id="rId9" Type="http://schemas.openxmlformats.org/officeDocument/2006/relationships/hyperlink" Target="#'M02-S01'!A1"/><Relationship Id="rId1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6-S02'!A1"/><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6-S01'!A1"/><Relationship Id="rId2" Type="http://schemas.openxmlformats.org/officeDocument/2006/relationships/hyperlink" Target="#'M06-S05'!A1"/><Relationship Id="rId1" Type="http://schemas.openxmlformats.org/officeDocument/2006/relationships/hyperlink" Target="#'M06-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5" Type="http://schemas.openxmlformats.org/officeDocument/2006/relationships/chart" Target="../charts/chart1.xml"/><Relationship Id="rId10" Type="http://schemas.openxmlformats.org/officeDocument/2006/relationships/hyperlink" Target="#'M04-S01'!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6-S02'!A1"/><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6-S01'!A1"/><Relationship Id="rId2" Type="http://schemas.openxmlformats.org/officeDocument/2006/relationships/hyperlink" Target="#'M06-S05'!A1"/><Relationship Id="rId1" Type="http://schemas.openxmlformats.org/officeDocument/2006/relationships/hyperlink" Target="#'M06-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0" Type="http://schemas.openxmlformats.org/officeDocument/2006/relationships/hyperlink" Target="#'M04-S01'!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ailto:BizSavers@ameren.com" TargetMode="External"/><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image" Target="../media/image1.png"/><Relationship Id="rId2" Type="http://schemas.openxmlformats.org/officeDocument/2006/relationships/hyperlink" Target="#'M05-S06'!A1"/><Relationship Id="rId16" Type="http://schemas.openxmlformats.org/officeDocument/2006/relationships/hyperlink" Target="#'M02-S04'!A1"/><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hyperlink" Target="#'M02-S02'!A1"/></Relationships>
</file>

<file path=xl/drawings/_rels/drawing5.xml.rels><?xml version="1.0" encoding="UTF-8" standalone="yes"?>
<Relationships xmlns="http://schemas.openxmlformats.org/package/2006/relationships"><Relationship Id="rId3" Type="http://schemas.openxmlformats.org/officeDocument/2006/relationships/hyperlink" Target="mailto:BizSavers@ameren.com" TargetMode="External"/><Relationship Id="rId2" Type="http://schemas.openxmlformats.org/officeDocument/2006/relationships/hyperlink" Target="https://www.tradeallynetwork.com/wp-content/uploads/Terms-Conditions-Jan2024.pdf" TargetMode="External"/><Relationship Id="rId1" Type="http://schemas.openxmlformats.org/officeDocument/2006/relationships/hyperlink" Target="#'M06-S05'!A1"/><Relationship Id="rId6" Type="http://schemas.openxmlformats.org/officeDocument/2006/relationships/hyperlink" Target="https://www.tradeallynetwork.com/wp-content/uploads/Ameren-Custom-Standard-Application.xlsx" TargetMode="External"/><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mailto:BizSavers@ameren.com" TargetMode="External"/><Relationship Id="rId1" Type="http://schemas.openxmlformats.org/officeDocument/2006/relationships/image" Target="../media/image2.png"/><Relationship Id="rId5" Type="http://schemas.openxmlformats.org/officeDocument/2006/relationships/image" Target="../media/image9.png"/><Relationship Id="rId4" Type="http://schemas.openxmlformats.org/officeDocument/2006/relationships/hyperlink" Target="#'M01-S01'!A1"/></Relationships>
</file>

<file path=xl/drawings/_rels/drawing7.xml.rels><?xml version="1.0" encoding="UTF-8" standalone="yes"?>
<Relationships xmlns="http://schemas.openxmlformats.org/package/2006/relationships"><Relationship Id="rId8" Type="http://schemas.openxmlformats.org/officeDocument/2006/relationships/hyperlink" Target="#'M01-S01'!A1"/><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hyperlink" Target="#'M03-S01'!A1"/><Relationship Id="rId1" Type="http://schemas.openxmlformats.org/officeDocument/2006/relationships/image" Target="../media/image10.png"/><Relationship Id="rId6" Type="http://schemas.openxmlformats.org/officeDocument/2006/relationships/hyperlink" Target="#'M04-S01'!A1"/><Relationship Id="rId5" Type="http://schemas.openxmlformats.org/officeDocument/2006/relationships/hyperlink" Target="#'M02-S04'!A1"/><Relationship Id="rId4" Type="http://schemas.openxmlformats.org/officeDocument/2006/relationships/hyperlink" Target="mailto:BizSavers@ameren.com" TargetMode="External"/><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M01-S01'!A1"/></Relationships>
</file>

<file path=xl/drawings/drawing1.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22" name="SUBMENU5">
          <a:hlinkClick xmlns:r="http://schemas.openxmlformats.org/officeDocument/2006/relationships" r:id="rId1"/>
          <a:extLst>
            <a:ext uri="{FF2B5EF4-FFF2-40B4-BE49-F238E27FC236}">
              <a16:creationId xmlns:a16="http://schemas.microsoft.com/office/drawing/2014/main" id="{00000000-0008-0000-0700-000016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21" name="SUBMENU4">
          <a:hlinkClick xmlns:r="http://schemas.openxmlformats.org/officeDocument/2006/relationships" r:id="rId2"/>
          <a:extLst>
            <a:ext uri="{FF2B5EF4-FFF2-40B4-BE49-F238E27FC236}">
              <a16:creationId xmlns:a16="http://schemas.microsoft.com/office/drawing/2014/main" id="{00000000-0008-0000-0700-000015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2" name="SUBMENU6">
          <a:hlinkClick xmlns:r="http://schemas.openxmlformats.org/officeDocument/2006/relationships" r:id="rId3"/>
          <a:extLst>
            <a:ext uri="{FF2B5EF4-FFF2-40B4-BE49-F238E27FC236}">
              <a16:creationId xmlns:a16="http://schemas.microsoft.com/office/drawing/2014/main" id="{00000000-0008-0000-07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 name="SUBMENU7">
          <a:hlinkClick xmlns:r="http://schemas.openxmlformats.org/officeDocument/2006/relationships" r:id="rId4"/>
          <a:extLst>
            <a:ext uri="{FF2B5EF4-FFF2-40B4-BE49-F238E27FC236}">
              <a16:creationId xmlns:a16="http://schemas.microsoft.com/office/drawing/2014/main" id="{00000000-0008-0000-0700-000003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4" name="SUBMENU3">
          <a:hlinkClick xmlns:r="http://schemas.openxmlformats.org/officeDocument/2006/relationships" r:id="rId5"/>
          <a:extLst>
            <a:ext uri="{FF2B5EF4-FFF2-40B4-BE49-F238E27FC236}">
              <a16:creationId xmlns:a16="http://schemas.microsoft.com/office/drawing/2014/main" id="{00000000-0008-0000-0700-000004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5" name="SUBMENU8">
          <a:hlinkClick xmlns:r="http://schemas.openxmlformats.org/officeDocument/2006/relationships" r:id="rId6"/>
          <a:extLst>
            <a:ext uri="{FF2B5EF4-FFF2-40B4-BE49-F238E27FC236}">
              <a16:creationId xmlns:a16="http://schemas.microsoft.com/office/drawing/2014/main" id="{00000000-0008-0000-0700-00000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601</xdr:colOff>
      <xdr:row>11</xdr:row>
      <xdr:rowOff>60916</xdr:rowOff>
    </xdr:to>
    <xdr:sp macro="" textlink="">
      <xdr:nvSpPr>
        <xdr:cNvPr id="6" name="NEXT">
          <a:hlinkClick xmlns:r="http://schemas.openxmlformats.org/officeDocument/2006/relationships" r:id="rId7"/>
          <a:extLst>
            <a:ext uri="{FF2B5EF4-FFF2-40B4-BE49-F238E27FC236}">
              <a16:creationId xmlns:a16="http://schemas.microsoft.com/office/drawing/2014/main" id="{00000000-0008-0000-07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8"/>
          <a:extLst>
            <a:ext uri="{FF2B5EF4-FFF2-40B4-BE49-F238E27FC236}">
              <a16:creationId xmlns:a16="http://schemas.microsoft.com/office/drawing/2014/main" id="{00000000-0008-0000-07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Trade Ally &amp; Install Site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8" name="MENU2">
          <a:hlinkClick xmlns:r="http://schemas.openxmlformats.org/officeDocument/2006/relationships" r:id="rId9"/>
          <a:extLst>
            <a:ext uri="{FF2B5EF4-FFF2-40B4-BE49-F238E27FC236}">
              <a16:creationId xmlns:a16="http://schemas.microsoft.com/office/drawing/2014/main" id="{00000000-0008-0000-0700-000008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9" name="MENU3">
          <a:hlinkClick xmlns:r="http://schemas.openxmlformats.org/officeDocument/2006/relationships" r:id="rId10"/>
          <a:extLst>
            <a:ext uri="{FF2B5EF4-FFF2-40B4-BE49-F238E27FC236}">
              <a16:creationId xmlns:a16="http://schemas.microsoft.com/office/drawing/2014/main" id="{00000000-0008-0000-0700-000009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Site Details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10" name="MENU4">
          <a:hlinkClick xmlns:r="http://schemas.openxmlformats.org/officeDocument/2006/relationships" r:id="rId11"/>
          <a:extLst>
            <a:ext uri="{FF2B5EF4-FFF2-40B4-BE49-F238E27FC236}">
              <a16:creationId xmlns:a16="http://schemas.microsoft.com/office/drawing/2014/main" id="{00000000-0008-0000-0700-00000A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Payee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11" name="MENU5">
          <a:hlinkClick xmlns:r="http://schemas.openxmlformats.org/officeDocument/2006/relationships" r:id="rId12"/>
          <a:extLst>
            <a:ext uri="{FF2B5EF4-FFF2-40B4-BE49-F238E27FC236}">
              <a16:creationId xmlns:a16="http://schemas.microsoft.com/office/drawing/2014/main" id="{00000000-0008-0000-0700-00000B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12" name="MENU6">
          <a:hlinkClick xmlns:r="http://schemas.openxmlformats.org/officeDocument/2006/relationships" r:id="rId13"/>
          <a:extLst>
            <a:ext uri="{FF2B5EF4-FFF2-40B4-BE49-F238E27FC236}">
              <a16:creationId xmlns:a16="http://schemas.microsoft.com/office/drawing/2014/main" id="{00000000-0008-0000-0700-00000C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M1S6</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07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15" name="SUBMENU1">
          <a:hlinkClick xmlns:r="http://schemas.openxmlformats.org/officeDocument/2006/relationships" r:id="rId13"/>
          <a:extLst>
            <a:ext uri="{FF2B5EF4-FFF2-40B4-BE49-F238E27FC236}">
              <a16:creationId xmlns:a16="http://schemas.microsoft.com/office/drawing/2014/main" id="{00000000-0008-0000-07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6" name="SUBMENU2">
          <a:hlinkClick xmlns:r="http://schemas.openxmlformats.org/officeDocument/2006/relationships" r:id="rId7"/>
          <a:extLst>
            <a:ext uri="{FF2B5EF4-FFF2-40B4-BE49-F238E27FC236}">
              <a16:creationId xmlns:a16="http://schemas.microsoft.com/office/drawing/2014/main" id="{00000000-0008-0000-07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7" name="BORDER">
          <a:extLst>
            <a:ext uri="{FF2B5EF4-FFF2-40B4-BE49-F238E27FC236}">
              <a16:creationId xmlns:a16="http://schemas.microsoft.com/office/drawing/2014/main" id="{00000000-0008-0000-0700-000011000000}"/>
            </a:ext>
          </a:extLst>
        </xdr:cNvPr>
        <xdr:cNvSpPr/>
      </xdr:nvSpPr>
      <xdr:spPr>
        <a:xfrm>
          <a:off x="314323" y="1600199"/>
          <a:ext cx="1351597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2692</xdr:colOff>
      <xdr:row>11</xdr:row>
      <xdr:rowOff>56995</xdr:rowOff>
    </xdr:to>
    <xdr:sp macro="" textlink="">
      <xdr:nvSpPr>
        <xdr:cNvPr id="18" name="BACK">
          <a:hlinkClick xmlns:r="http://schemas.openxmlformats.org/officeDocument/2006/relationships" r:id="rId4"/>
          <a:extLst>
            <a:ext uri="{FF2B5EF4-FFF2-40B4-BE49-F238E27FC236}">
              <a16:creationId xmlns:a16="http://schemas.microsoft.com/office/drawing/2014/main" id="{00000000-0008-0000-0700-000012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07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213880</xdr:colOff>
      <xdr:row>3</xdr:row>
      <xdr:rowOff>146054</xdr:rowOff>
    </xdr:to>
    <xdr:pic>
      <xdr:nvPicPr>
        <xdr:cNvPr id="20" name="LOGO">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89648</xdr:colOff>
      <xdr:row>14</xdr:row>
      <xdr:rowOff>57815</xdr:rowOff>
    </xdr:from>
    <xdr:to>
      <xdr:col>35</xdr:col>
      <xdr:colOff>160345</xdr:colOff>
      <xdr:row>17</xdr:row>
      <xdr:rowOff>144636</xdr:rowOff>
    </xdr:to>
    <xdr:pic>
      <xdr:nvPicPr>
        <xdr:cNvPr id="23" name="LOGO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9833723" y="2658140"/>
          <a:ext cx="1324534" cy="699142"/>
        </a:xfrm>
        <a:prstGeom prst="rect">
          <a:avLst/>
        </a:prstGeom>
      </xdr:spPr>
    </xdr:pic>
    <xdr:clientData/>
  </xdr:twoCellAnchor>
  <xdr:twoCellAnchor editAs="oneCell">
    <xdr:from>
      <xdr:col>19</xdr:col>
      <xdr:colOff>291533</xdr:colOff>
      <xdr:row>35</xdr:row>
      <xdr:rowOff>0</xdr:rowOff>
    </xdr:from>
    <xdr:to>
      <xdr:col>25</xdr:col>
      <xdr:colOff>5195</xdr:colOff>
      <xdr:row>42</xdr:row>
      <xdr:rowOff>150540</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3708" y="6800850"/>
          <a:ext cx="1594417" cy="1579290"/>
        </a:xfrm>
        <a:prstGeom prst="rect">
          <a:avLst/>
        </a:prstGeom>
      </xdr:spPr>
    </xdr:pic>
    <xdr:clientData/>
  </xdr:twoCellAnchor>
  <xdr:twoCellAnchor editAs="oneCell">
    <xdr:from>
      <xdr:col>27</xdr:col>
      <xdr:colOff>0</xdr:colOff>
      <xdr:row>68</xdr:row>
      <xdr:rowOff>169784</xdr:rowOff>
    </xdr:from>
    <xdr:to>
      <xdr:col>29</xdr:col>
      <xdr:colOff>197162</xdr:colOff>
      <xdr:row>71</xdr:row>
      <xdr:rowOff>55790</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8486775" y="13571459"/>
          <a:ext cx="824081" cy="430291"/>
        </a:xfrm>
        <a:prstGeom prst="rect">
          <a:avLst/>
        </a:prstGeom>
      </xdr:spPr>
    </xdr:pic>
    <xdr:clientData/>
  </xdr:twoCellAnchor>
  <xdr:twoCellAnchor editAs="oneCell">
    <xdr:from>
      <xdr:col>8</xdr:col>
      <xdr:colOff>291352</xdr:colOff>
      <xdr:row>69</xdr:row>
      <xdr:rowOff>36789</xdr:rowOff>
    </xdr:from>
    <xdr:to>
      <xdr:col>11</xdr:col>
      <xdr:colOff>292218</xdr:colOff>
      <xdr:row>72</xdr:row>
      <xdr:rowOff>28576</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805952" y="13638489"/>
          <a:ext cx="942975" cy="563286"/>
        </a:xfrm>
        <a:prstGeom prst="rect">
          <a:avLst/>
        </a:prstGeom>
      </xdr:spPr>
    </xdr:pic>
    <xdr:clientData/>
  </xdr:twoCellAnchor>
  <xdr:twoCellAnchor editAs="oneCell">
    <xdr:from>
      <xdr:col>18</xdr:col>
      <xdr:colOff>138353</xdr:colOff>
      <xdr:row>67</xdr:row>
      <xdr:rowOff>161716</xdr:rowOff>
    </xdr:from>
    <xdr:to>
      <xdr:col>21</xdr:col>
      <xdr:colOff>93976</xdr:colOff>
      <xdr:row>72</xdr:row>
      <xdr:rowOff>61232</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5796203" y="13363366"/>
          <a:ext cx="894269" cy="838409"/>
        </a:xfrm>
        <a:prstGeom prst="rect">
          <a:avLst/>
        </a:prstGeom>
      </xdr:spPr>
    </xdr:pic>
    <xdr:clientData/>
  </xdr:twoCellAnchor>
  <xdr:twoCellAnchor editAs="oneCell">
    <xdr:from>
      <xdr:col>19</xdr:col>
      <xdr:colOff>0</xdr:colOff>
      <xdr:row>53</xdr:row>
      <xdr:rowOff>137662</xdr:rowOff>
    </xdr:from>
    <xdr:to>
      <xdr:col>34</xdr:col>
      <xdr:colOff>251986</xdr:colOff>
      <xdr:row>59</xdr:row>
      <xdr:rowOff>175532</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972175" y="10538962"/>
          <a:ext cx="4955604" cy="1262513"/>
        </a:xfrm>
        <a:prstGeom prst="rect">
          <a:avLst/>
        </a:prstGeom>
      </xdr:spPr>
    </xdr:pic>
    <xdr:clientData/>
  </xdr:twoCellAnchor>
  <xdr:twoCellAnchor>
    <xdr:from>
      <xdr:col>38</xdr:col>
      <xdr:colOff>0</xdr:colOff>
      <xdr:row>13</xdr:row>
      <xdr:rowOff>0</xdr:rowOff>
    </xdr:from>
    <xdr:to>
      <xdr:col>43</xdr:col>
      <xdr:colOff>0</xdr:colOff>
      <xdr:row>17</xdr:row>
      <xdr:rowOff>0</xdr:rowOff>
    </xdr:to>
    <xdr:sp macro="" textlink="">
      <xdr:nvSpPr>
        <xdr:cNvPr id="32" name="TextBox 31">
          <a:hlinkClick xmlns:r="http://schemas.openxmlformats.org/officeDocument/2006/relationships" r:id="rId21"/>
          <a:extLst>
            <a:ext uri="{FF2B5EF4-FFF2-40B4-BE49-F238E27FC236}">
              <a16:creationId xmlns:a16="http://schemas.microsoft.com/office/drawing/2014/main" id="{00000000-0008-0000-0700-000020000000}"/>
            </a:ext>
          </a:extLst>
        </xdr:cNvPr>
        <xdr:cNvSpPr txBox="1"/>
      </xdr:nvSpPr>
      <xdr:spPr>
        <a:xfrm>
          <a:off x="11923059" y="2622176"/>
          <a:ext cx="1568823" cy="806824"/>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CLICK HERE to see</a:t>
          </a:r>
          <a:r>
            <a:rPr lang="en-US" sz="1100" b="1" baseline="0">
              <a:solidFill>
                <a:schemeClr val="bg1"/>
              </a:solidFill>
              <a:latin typeface="Arial" panose="020B0604020202020204" pitchFamily="34" charset="0"/>
              <a:cs typeface="Arial" panose="020B0604020202020204" pitchFamily="34" charset="0"/>
            </a:rPr>
            <a:t> cost and savings graphed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31" name="SUBMENU4" hidden="1">
          <a:hlinkClick xmlns:r="http://schemas.openxmlformats.org/officeDocument/2006/relationships" r:id="rId1"/>
          <a:extLst>
            <a:ext uri="{FF2B5EF4-FFF2-40B4-BE49-F238E27FC236}">
              <a16:creationId xmlns:a16="http://schemas.microsoft.com/office/drawing/2014/main" id="{00000000-0008-0000-0800-00001F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6S5">
      <xdr:nvSpPr>
        <xdr:cNvPr id="32" name="SUBMENU5" hidden="1">
          <a:hlinkClick xmlns:r="http://schemas.openxmlformats.org/officeDocument/2006/relationships" r:id="rId2"/>
          <a:extLst>
            <a:ext uri="{FF2B5EF4-FFF2-40B4-BE49-F238E27FC236}">
              <a16:creationId xmlns:a16="http://schemas.microsoft.com/office/drawing/2014/main" id="{00000000-0008-0000-0800-000020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33" name="SUBMENU6" hidden="1">
          <a:hlinkClick xmlns:r="http://schemas.openxmlformats.org/officeDocument/2006/relationships" r:id="rId3"/>
          <a:extLst>
            <a:ext uri="{FF2B5EF4-FFF2-40B4-BE49-F238E27FC236}">
              <a16:creationId xmlns:a16="http://schemas.microsoft.com/office/drawing/2014/main" id="{00000000-0008-0000-0800-000021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4" name="SUBMENU7" hidden="1">
          <a:hlinkClick xmlns:r="http://schemas.openxmlformats.org/officeDocument/2006/relationships" r:id="rId4"/>
          <a:extLst>
            <a:ext uri="{FF2B5EF4-FFF2-40B4-BE49-F238E27FC236}">
              <a16:creationId xmlns:a16="http://schemas.microsoft.com/office/drawing/2014/main" id="{00000000-0008-0000-0800-000022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35" name="SUBMENU3" hidden="1">
          <a:hlinkClick xmlns:r="http://schemas.openxmlformats.org/officeDocument/2006/relationships" r:id="rId5"/>
          <a:extLst>
            <a:ext uri="{FF2B5EF4-FFF2-40B4-BE49-F238E27FC236}">
              <a16:creationId xmlns:a16="http://schemas.microsoft.com/office/drawing/2014/main" id="{00000000-0008-0000-0800-000023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36" name="SUBMENU8" hidden="1">
          <a:hlinkClick xmlns:r="http://schemas.openxmlformats.org/officeDocument/2006/relationships" r:id="rId6"/>
          <a:extLst>
            <a:ext uri="{FF2B5EF4-FFF2-40B4-BE49-F238E27FC236}">
              <a16:creationId xmlns:a16="http://schemas.microsoft.com/office/drawing/2014/main" id="{00000000-0008-0000-08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8" name="MENU1">
          <a:hlinkClick xmlns:r="http://schemas.openxmlformats.org/officeDocument/2006/relationships" r:id="rId7"/>
          <a:extLst>
            <a:ext uri="{FF2B5EF4-FFF2-40B4-BE49-F238E27FC236}">
              <a16:creationId xmlns:a16="http://schemas.microsoft.com/office/drawing/2014/main" id="{00000000-0008-0000-0800-000026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Trade Ally &amp; Install Site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39" name="MENU2">
          <a:hlinkClick xmlns:r="http://schemas.openxmlformats.org/officeDocument/2006/relationships" r:id="rId8"/>
          <a:extLst>
            <a:ext uri="{FF2B5EF4-FFF2-40B4-BE49-F238E27FC236}">
              <a16:creationId xmlns:a16="http://schemas.microsoft.com/office/drawing/2014/main" id="{00000000-0008-0000-0800-000027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40" name="MENU3">
          <a:hlinkClick xmlns:r="http://schemas.openxmlformats.org/officeDocument/2006/relationships" r:id="rId9"/>
          <a:extLst>
            <a:ext uri="{FF2B5EF4-FFF2-40B4-BE49-F238E27FC236}">
              <a16:creationId xmlns:a16="http://schemas.microsoft.com/office/drawing/2014/main" id="{00000000-0008-0000-0800-000028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Site Details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41" name="MENU4">
          <a:hlinkClick xmlns:r="http://schemas.openxmlformats.org/officeDocument/2006/relationships" r:id="rId10"/>
          <a:extLst>
            <a:ext uri="{FF2B5EF4-FFF2-40B4-BE49-F238E27FC236}">
              <a16:creationId xmlns:a16="http://schemas.microsoft.com/office/drawing/2014/main" id="{00000000-0008-0000-0800-000029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Payee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42" name="MENU5">
          <a:hlinkClick xmlns:r="http://schemas.openxmlformats.org/officeDocument/2006/relationships" r:id="rId11"/>
          <a:extLst>
            <a:ext uri="{FF2B5EF4-FFF2-40B4-BE49-F238E27FC236}">
              <a16:creationId xmlns:a16="http://schemas.microsoft.com/office/drawing/2014/main" id="{00000000-0008-0000-0800-00002A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43" name="MENU6">
          <a:hlinkClick xmlns:r="http://schemas.openxmlformats.org/officeDocument/2006/relationships" r:id="rId12"/>
          <a:extLst>
            <a:ext uri="{FF2B5EF4-FFF2-40B4-BE49-F238E27FC236}">
              <a16:creationId xmlns:a16="http://schemas.microsoft.com/office/drawing/2014/main" id="{00000000-0008-0000-0800-00002B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M1S6</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4" name="MENU7">
          <a:extLst>
            <a:ext uri="{FF2B5EF4-FFF2-40B4-BE49-F238E27FC236}">
              <a16:creationId xmlns:a16="http://schemas.microsoft.com/office/drawing/2014/main" id="{00000000-0008-0000-0800-00002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45" name="TOPRIBBON">
          <a:extLst>
            <a:ext uri="{FF2B5EF4-FFF2-40B4-BE49-F238E27FC236}">
              <a16:creationId xmlns:a16="http://schemas.microsoft.com/office/drawing/2014/main" id="{00000000-0008-0000-0800-00002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46" name="SUBMENU1">
          <a:hlinkClick xmlns:r="http://schemas.openxmlformats.org/officeDocument/2006/relationships" r:id="rId12"/>
          <a:extLst>
            <a:ext uri="{FF2B5EF4-FFF2-40B4-BE49-F238E27FC236}">
              <a16:creationId xmlns:a16="http://schemas.microsoft.com/office/drawing/2014/main" id="{00000000-0008-0000-0800-00002E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47" name="SUBMENU2" hidden="1">
          <a:hlinkClick xmlns:r="http://schemas.openxmlformats.org/officeDocument/2006/relationships" r:id="rId13"/>
          <a:extLst>
            <a:ext uri="{FF2B5EF4-FFF2-40B4-BE49-F238E27FC236}">
              <a16:creationId xmlns:a16="http://schemas.microsoft.com/office/drawing/2014/main" id="{00000000-0008-0000-0800-00002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202</xdr:row>
      <xdr:rowOff>0</xdr:rowOff>
    </xdr:to>
    <xdr:sp macro="" textlink="">
      <xdr:nvSpPr>
        <xdr:cNvPr id="48" name="BORDER">
          <a:extLst>
            <a:ext uri="{FF2B5EF4-FFF2-40B4-BE49-F238E27FC236}">
              <a16:creationId xmlns:a16="http://schemas.microsoft.com/office/drawing/2014/main" id="{00000000-0008-0000-0800-000030000000}"/>
            </a:ext>
          </a:extLst>
        </xdr:cNvPr>
        <xdr:cNvSpPr/>
      </xdr:nvSpPr>
      <xdr:spPr>
        <a:xfrm>
          <a:off x="314323" y="1600199"/>
          <a:ext cx="13515977" cy="144018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50" name="BOTTOMRIBBON">
          <a:extLst>
            <a:ext uri="{FF2B5EF4-FFF2-40B4-BE49-F238E27FC236}">
              <a16:creationId xmlns:a16="http://schemas.microsoft.com/office/drawing/2014/main" id="{00000000-0008-0000-0800-000032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211078</xdr:colOff>
      <xdr:row>3</xdr:row>
      <xdr:rowOff>133167</xdr:rowOff>
    </xdr:to>
    <xdr:pic>
      <xdr:nvPicPr>
        <xdr:cNvPr id="51" name="LOGO">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6855" cy="54610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53" name="MENU7">
          <a:extLst>
            <a:ext uri="{FF2B5EF4-FFF2-40B4-BE49-F238E27FC236}">
              <a16:creationId xmlns:a16="http://schemas.microsoft.com/office/drawing/2014/main" id="{00000000-0008-0000-0800-00003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35</xdr:col>
      <xdr:colOff>33617</xdr:colOff>
      <xdr:row>1</xdr:row>
      <xdr:rowOff>56030</xdr:rowOff>
    </xdr:from>
    <xdr:to>
      <xdr:col>40</xdr:col>
      <xdr:colOff>33617</xdr:colOff>
      <xdr:row>4</xdr:row>
      <xdr:rowOff>56030</xdr:rowOff>
    </xdr:to>
    <xdr:sp macro="" textlink="MAIN7">
      <xdr:nvSpPr>
        <xdr:cNvPr id="54" name="MENU7">
          <a:extLst>
            <a:ext uri="{FF2B5EF4-FFF2-40B4-BE49-F238E27FC236}">
              <a16:creationId xmlns:a16="http://schemas.microsoft.com/office/drawing/2014/main" id="{00000000-0008-0000-0800-000036000000}"/>
            </a:ext>
          </a:extLst>
        </xdr:cNvPr>
        <xdr:cNvSpPr/>
      </xdr:nvSpPr>
      <xdr:spPr>
        <a:xfrm>
          <a:off x="11015382" y="257736"/>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M1S7</a:t>
          </a:fld>
          <a:endParaRPr lang="en-US" sz="1100">
            <a:noFill/>
          </a:endParaRPr>
        </a:p>
      </xdr:txBody>
    </xdr:sp>
    <xdr:clientData/>
  </xdr:twoCellAnchor>
  <xdr:twoCellAnchor>
    <xdr:from>
      <xdr:col>12</xdr:col>
      <xdr:colOff>313764</xdr:colOff>
      <xdr:row>13</xdr:row>
      <xdr:rowOff>1</xdr:rowOff>
    </xdr:from>
    <xdr:to>
      <xdr:col>42</xdr:col>
      <xdr:colOff>0</xdr:colOff>
      <xdr:row>37</xdr:row>
      <xdr:rowOff>1</xdr:rowOff>
    </xdr:to>
    <xdr:graphicFrame macro="">
      <xdr:nvGraphicFramePr>
        <xdr:cNvPr id="60" name="Chart 59">
          <a:extLst>
            <a:ext uri="{FF2B5EF4-FFF2-40B4-BE49-F238E27FC236}">
              <a16:creationId xmlns:a16="http://schemas.microsoft.com/office/drawing/2014/main" id="{00000000-0008-0000-08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28</xdr:colOff>
      <xdr:row>9</xdr:row>
      <xdr:rowOff>0</xdr:rowOff>
    </xdr:from>
    <xdr:to>
      <xdr:col>4</xdr:col>
      <xdr:colOff>0</xdr:colOff>
      <xdr:row>11</xdr:row>
      <xdr:rowOff>57469</xdr:rowOff>
    </xdr:to>
    <xdr:sp macro="" textlink="">
      <xdr:nvSpPr>
        <xdr:cNvPr id="61" name="BACK">
          <a:hlinkClick xmlns:r="http://schemas.openxmlformats.org/officeDocument/2006/relationships" r:id="rId12"/>
          <a:extLst>
            <a:ext uri="{FF2B5EF4-FFF2-40B4-BE49-F238E27FC236}">
              <a16:creationId xmlns:a16="http://schemas.microsoft.com/office/drawing/2014/main" id="{00000000-0008-0000-0800-00003D000000}"/>
            </a:ext>
          </a:extLst>
        </xdr:cNvPr>
        <xdr:cNvSpPr>
          <a:spLocks noChangeAspect="1"/>
        </xdr:cNvSpPr>
      </xdr:nvSpPr>
      <xdr:spPr>
        <a:xfrm>
          <a:off x="62755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40</xdr:col>
      <xdr:colOff>302559</xdr:colOff>
      <xdr:row>9</xdr:row>
      <xdr:rowOff>0</xdr:rowOff>
    </xdr:from>
    <xdr:to>
      <xdr:col>42</xdr:col>
      <xdr:colOff>302531</xdr:colOff>
      <xdr:row>11</xdr:row>
      <xdr:rowOff>57469</xdr:rowOff>
    </xdr:to>
    <xdr:sp macro="" textlink="">
      <xdr:nvSpPr>
        <xdr:cNvPr id="62" name="BACK">
          <a:hlinkClick xmlns:r="http://schemas.openxmlformats.org/officeDocument/2006/relationships" r:id="rId13"/>
          <a:extLst>
            <a:ext uri="{FF2B5EF4-FFF2-40B4-BE49-F238E27FC236}">
              <a16:creationId xmlns:a16="http://schemas.microsoft.com/office/drawing/2014/main" id="{00000000-0008-0000-0800-00003E000000}"/>
            </a:ext>
          </a:extLst>
        </xdr:cNvPr>
        <xdr:cNvSpPr>
          <a:spLocks noChangeAspect="1"/>
        </xdr:cNvSpPr>
      </xdr:nvSpPr>
      <xdr:spPr>
        <a:xfrm rot="10800000">
          <a:off x="1285314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11207</xdr:rowOff>
    </xdr:from>
    <xdr:to>
      <xdr:col>8</xdr:col>
      <xdr:colOff>0</xdr:colOff>
      <xdr:row>12</xdr:row>
      <xdr:rowOff>11206</xdr:rowOff>
    </xdr:to>
    <xdr:sp macro="" textlink="">
      <xdr:nvSpPr>
        <xdr:cNvPr id="63" name="TextBox 62">
          <a:extLst>
            <a:ext uri="{FF2B5EF4-FFF2-40B4-BE49-F238E27FC236}">
              <a16:creationId xmlns:a16="http://schemas.microsoft.com/office/drawing/2014/main" id="{00000000-0008-0000-0800-00003F000000}"/>
            </a:ext>
          </a:extLst>
        </xdr:cNvPr>
        <xdr:cNvSpPr txBox="1"/>
      </xdr:nvSpPr>
      <xdr:spPr>
        <a:xfrm>
          <a:off x="1448110" y="1624854"/>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Project</a:t>
          </a:r>
          <a:r>
            <a:rPr lang="en-US" sz="1400" b="1" baseline="0">
              <a:solidFill>
                <a:srgbClr val="1B6CB5"/>
              </a:solidFill>
              <a:latin typeface="Arial" panose="020B0604020202020204" pitchFamily="34" charset="0"/>
              <a:cs typeface="Arial" panose="020B0604020202020204" pitchFamily="34" charset="0"/>
            </a:rPr>
            <a:t> Summary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2" name="SUBMENU4" hidden="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6S5">
      <xdr:nvSpPr>
        <xdr:cNvPr id="3" name="SUBMENU5" hidden="1">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4" name="SUBMENU6" hidden="1">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5" name="SUBMENU7" hidden="1">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6" name="SUBMENU3" hidden="1">
          <a:hlinkClick xmlns:r="http://schemas.openxmlformats.org/officeDocument/2006/relationships" r:id="rId5"/>
          <a:extLst>
            <a:ext uri="{FF2B5EF4-FFF2-40B4-BE49-F238E27FC236}">
              <a16:creationId xmlns:a16="http://schemas.microsoft.com/office/drawing/2014/main" id="{00000000-0008-0000-0900-000006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7" name="SUBMENU8" hidden="1">
          <a:hlinkClick xmlns:r="http://schemas.openxmlformats.org/officeDocument/2006/relationships" r:id="rId6"/>
          <a:extLst>
            <a:ext uri="{FF2B5EF4-FFF2-40B4-BE49-F238E27FC236}">
              <a16:creationId xmlns:a16="http://schemas.microsoft.com/office/drawing/2014/main" id="{00000000-0008-0000-0900-000007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8" name="MENU1">
          <a:hlinkClick xmlns:r="http://schemas.openxmlformats.org/officeDocument/2006/relationships" r:id="rId7"/>
          <a:extLst>
            <a:ext uri="{FF2B5EF4-FFF2-40B4-BE49-F238E27FC236}">
              <a16:creationId xmlns:a16="http://schemas.microsoft.com/office/drawing/2014/main" id="{00000000-0008-0000-0900-000008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Trade Ally &amp; Install Site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9" name="MENU2">
          <a:hlinkClick xmlns:r="http://schemas.openxmlformats.org/officeDocument/2006/relationships" r:id="rId8"/>
          <a:extLst>
            <a:ext uri="{FF2B5EF4-FFF2-40B4-BE49-F238E27FC236}">
              <a16:creationId xmlns:a16="http://schemas.microsoft.com/office/drawing/2014/main" id="{00000000-0008-0000-0900-000009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10" name="MENU3">
          <a:hlinkClick xmlns:r="http://schemas.openxmlformats.org/officeDocument/2006/relationships" r:id="rId9"/>
          <a:extLst>
            <a:ext uri="{FF2B5EF4-FFF2-40B4-BE49-F238E27FC236}">
              <a16:creationId xmlns:a16="http://schemas.microsoft.com/office/drawing/2014/main" id="{00000000-0008-0000-0900-00000A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Site Details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11" name="MENU4">
          <a:hlinkClick xmlns:r="http://schemas.openxmlformats.org/officeDocument/2006/relationships" r:id="rId10"/>
          <a:extLst>
            <a:ext uri="{FF2B5EF4-FFF2-40B4-BE49-F238E27FC236}">
              <a16:creationId xmlns:a16="http://schemas.microsoft.com/office/drawing/2014/main" id="{00000000-0008-0000-0900-00000B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Payee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12" name="MENU5">
          <a:hlinkClick xmlns:r="http://schemas.openxmlformats.org/officeDocument/2006/relationships" r:id="rId11"/>
          <a:extLst>
            <a:ext uri="{FF2B5EF4-FFF2-40B4-BE49-F238E27FC236}">
              <a16:creationId xmlns:a16="http://schemas.microsoft.com/office/drawing/2014/main" id="{00000000-0008-0000-0900-00000C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13" name="MENU6">
          <a:hlinkClick xmlns:r="http://schemas.openxmlformats.org/officeDocument/2006/relationships" r:id="rId12"/>
          <a:extLst>
            <a:ext uri="{FF2B5EF4-FFF2-40B4-BE49-F238E27FC236}">
              <a16:creationId xmlns:a16="http://schemas.microsoft.com/office/drawing/2014/main" id="{00000000-0008-0000-0900-00000D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M1S6</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4" name="MENU7">
          <a:extLst>
            <a:ext uri="{FF2B5EF4-FFF2-40B4-BE49-F238E27FC236}">
              <a16:creationId xmlns:a16="http://schemas.microsoft.com/office/drawing/2014/main" id="{00000000-0008-0000-0900-00000E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5" name="TOPRIBBON">
          <a:extLst>
            <a:ext uri="{FF2B5EF4-FFF2-40B4-BE49-F238E27FC236}">
              <a16:creationId xmlns:a16="http://schemas.microsoft.com/office/drawing/2014/main" id="{00000000-0008-0000-0900-00000F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16" name="SUBMENU1">
          <a:hlinkClick xmlns:r="http://schemas.openxmlformats.org/officeDocument/2006/relationships" r:id="rId12"/>
          <a:extLst>
            <a:ext uri="{FF2B5EF4-FFF2-40B4-BE49-F238E27FC236}">
              <a16:creationId xmlns:a16="http://schemas.microsoft.com/office/drawing/2014/main" id="{00000000-0008-0000-0900-000010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7" name="SUBMENU2" hidden="1">
          <a:hlinkClick xmlns:r="http://schemas.openxmlformats.org/officeDocument/2006/relationships" r:id="rId13"/>
          <a:extLst>
            <a:ext uri="{FF2B5EF4-FFF2-40B4-BE49-F238E27FC236}">
              <a16:creationId xmlns:a16="http://schemas.microsoft.com/office/drawing/2014/main" id="{00000000-0008-0000-0900-000011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202</xdr:row>
      <xdr:rowOff>0</xdr:rowOff>
    </xdr:to>
    <xdr:sp macro="" textlink="">
      <xdr:nvSpPr>
        <xdr:cNvPr id="18" name="BORDER">
          <a:extLst>
            <a:ext uri="{FF2B5EF4-FFF2-40B4-BE49-F238E27FC236}">
              <a16:creationId xmlns:a16="http://schemas.microsoft.com/office/drawing/2014/main" id="{00000000-0008-0000-0900-000012000000}"/>
            </a:ext>
          </a:extLst>
        </xdr:cNvPr>
        <xdr:cNvSpPr/>
      </xdr:nvSpPr>
      <xdr:spPr>
        <a:xfrm>
          <a:off x="314323" y="1600199"/>
          <a:ext cx="13515977" cy="600075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09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211078</xdr:colOff>
      <xdr:row>3</xdr:row>
      <xdr:rowOff>133167</xdr:rowOff>
    </xdr:to>
    <xdr:pic>
      <xdr:nvPicPr>
        <xdr:cNvPr id="20" name="LOGO">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4053" cy="533217"/>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1" name="MENU7">
          <a:extLst>
            <a:ext uri="{FF2B5EF4-FFF2-40B4-BE49-F238E27FC236}">
              <a16:creationId xmlns:a16="http://schemas.microsoft.com/office/drawing/2014/main" id="{00000000-0008-0000-0900-00001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2" name="MENU7">
          <a:extLst>
            <a:ext uri="{FF2B5EF4-FFF2-40B4-BE49-F238E27FC236}">
              <a16:creationId xmlns:a16="http://schemas.microsoft.com/office/drawing/2014/main" id="{00000000-0008-0000-0900-00001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M1S7</a:t>
          </a:fld>
          <a:endParaRPr lang="en-US" sz="1100">
            <a:noFill/>
          </a:endParaRPr>
        </a:p>
      </xdr:txBody>
    </xdr:sp>
    <xdr:clientData/>
  </xdr:twoCellAnchor>
  <xdr:twoCellAnchor editAs="oneCell">
    <xdr:from>
      <xdr:col>2</xdr:col>
      <xdr:colOff>28</xdr:colOff>
      <xdr:row>9</xdr:row>
      <xdr:rowOff>0</xdr:rowOff>
    </xdr:from>
    <xdr:to>
      <xdr:col>4</xdr:col>
      <xdr:colOff>0</xdr:colOff>
      <xdr:row>11</xdr:row>
      <xdr:rowOff>124144</xdr:rowOff>
    </xdr:to>
    <xdr:sp macro="" textlink="">
      <xdr:nvSpPr>
        <xdr:cNvPr id="24" name="BACK">
          <a:hlinkClick xmlns:r="http://schemas.openxmlformats.org/officeDocument/2006/relationships" r:id="rId12"/>
          <a:extLst>
            <a:ext uri="{FF2B5EF4-FFF2-40B4-BE49-F238E27FC236}">
              <a16:creationId xmlns:a16="http://schemas.microsoft.com/office/drawing/2014/main" id="{00000000-0008-0000-0900-000018000000}"/>
            </a:ext>
          </a:extLst>
        </xdr:cNvPr>
        <xdr:cNvSpPr>
          <a:spLocks noChangeAspect="1"/>
        </xdr:cNvSpPr>
      </xdr:nvSpPr>
      <xdr:spPr>
        <a:xfrm>
          <a:off x="628678" y="1800225"/>
          <a:ext cx="628622" cy="457519"/>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40</xdr:col>
      <xdr:colOff>302559</xdr:colOff>
      <xdr:row>9</xdr:row>
      <xdr:rowOff>0</xdr:rowOff>
    </xdr:from>
    <xdr:to>
      <xdr:col>42</xdr:col>
      <xdr:colOff>302531</xdr:colOff>
      <xdr:row>11</xdr:row>
      <xdr:rowOff>124144</xdr:rowOff>
    </xdr:to>
    <xdr:sp macro="" textlink="">
      <xdr:nvSpPr>
        <xdr:cNvPr id="25" name="BACK">
          <a:hlinkClick xmlns:r="http://schemas.openxmlformats.org/officeDocument/2006/relationships" r:id="rId13"/>
          <a:extLst>
            <a:ext uri="{FF2B5EF4-FFF2-40B4-BE49-F238E27FC236}">
              <a16:creationId xmlns:a16="http://schemas.microsoft.com/office/drawing/2014/main" id="{00000000-0008-0000-0900-000019000000}"/>
            </a:ext>
          </a:extLst>
        </xdr:cNvPr>
        <xdr:cNvSpPr>
          <a:spLocks noChangeAspect="1"/>
        </xdr:cNvSpPr>
      </xdr:nvSpPr>
      <xdr:spPr>
        <a:xfrm rot="10800000">
          <a:off x="12875559" y="1800225"/>
          <a:ext cx="628622" cy="457519"/>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11207</xdr:rowOff>
    </xdr:from>
    <xdr:to>
      <xdr:col>8</xdr:col>
      <xdr:colOff>0</xdr:colOff>
      <xdr:row>12</xdr:row>
      <xdr:rowOff>11206</xdr:rowOff>
    </xdr:to>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1450351" y="1611407"/>
          <a:ext cx="1064249" cy="800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Project</a:t>
          </a:r>
          <a:r>
            <a:rPr lang="en-US" sz="1400" b="1" baseline="0">
              <a:solidFill>
                <a:srgbClr val="1B6CB5"/>
              </a:solidFill>
              <a:latin typeface="Arial" panose="020B0604020202020204" pitchFamily="34" charset="0"/>
              <a:cs typeface="Arial" panose="020B0604020202020204" pitchFamily="34" charset="0"/>
            </a:rPr>
            <a:t> Summary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8F0CF5-A2A3-4A74-A1B0-60DFD57B40CB}"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0A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CF396B-A5EA-452F-AEB7-1CB9824AABF5}"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0A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0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Trade Ally &amp; Install Site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0A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0A00-000005000000}"/>
            </a:ext>
          </a:extLst>
        </xdr:cNvPr>
        <xdr:cNvSpPr/>
      </xdr:nvSpPr>
      <xdr:spPr>
        <a:xfrm>
          <a:off x="472965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Site Details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0A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Payee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2</xdr:rowOff>
    </xdr:from>
    <xdr:to>
      <xdr:col>27</xdr:col>
      <xdr:colOff>2549</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0A00-000007000000}"/>
            </a:ext>
          </a:extLst>
        </xdr:cNvPr>
        <xdr:cNvSpPr/>
      </xdr:nvSpPr>
      <xdr:spPr>
        <a:xfrm>
          <a:off x="7254686" y="197071"/>
          <a:ext cx="1261242"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133349</xdr:rowOff>
    </xdr:from>
    <xdr:to>
      <xdr:col>31</xdr:col>
      <xdr:colOff>2548</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0A00-000008000000}"/>
            </a:ext>
          </a:extLst>
        </xdr:cNvPr>
        <xdr:cNvSpPr/>
      </xdr:nvSpPr>
      <xdr:spPr>
        <a:xfrm>
          <a:off x="8489324" y="333374"/>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C3A4395-4572-4304-B650-4E08EDD53851}" type="TxLink">
            <a:rPr lang="en-US" sz="1100" b="0" i="0" u="none" strike="noStrike">
              <a:solidFill>
                <a:schemeClr val="bg1"/>
              </a:solidFill>
              <a:latin typeface="Arial" panose="020B0604020202020204" pitchFamily="34" charset="0"/>
              <a:cs typeface="Arial" panose="020B0604020202020204" pitchFamily="34" charset="0"/>
            </a:rPr>
            <a:pPr algn="ctr"/>
            <a:t>M1S6</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CC4CDD8-56CB-4BA8-83A5-0F8D7A9C6901}"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0A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7F1FD3-2D9D-440F-9982-08B14FBBF4F0}"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56029</xdr:colOff>
      <xdr:row>15</xdr:row>
      <xdr:rowOff>179295</xdr:rowOff>
    </xdr:from>
    <xdr:to>
      <xdr:col>42</xdr:col>
      <xdr:colOff>190500</xdr:colOff>
      <xdr:row>16</xdr:row>
      <xdr:rowOff>134472</xdr:rowOff>
    </xdr:to>
    <xdr:sp macro="" textlink="">
      <xdr:nvSpPr>
        <xdr:cNvPr id="34" name="Rectangle 33">
          <a:hlinkClick xmlns:r="http://schemas.openxmlformats.org/officeDocument/2006/relationships" r:id="rId13"/>
          <a:extLst>
            <a:ext uri="{FF2B5EF4-FFF2-40B4-BE49-F238E27FC236}">
              <a16:creationId xmlns:a16="http://schemas.microsoft.com/office/drawing/2014/main" id="{00000000-0008-0000-0A00-000022000000}"/>
            </a:ext>
          </a:extLst>
        </xdr:cNvPr>
        <xdr:cNvSpPr/>
      </xdr:nvSpPr>
      <xdr:spPr>
        <a:xfrm>
          <a:off x="11665323" y="3204883"/>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7"/>
          <a:extLst>
            <a:ext uri="{FF2B5EF4-FFF2-40B4-BE49-F238E27FC236}">
              <a16:creationId xmlns:a16="http://schemas.microsoft.com/office/drawing/2014/main" id="{00000000-0008-0000-0A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a:extLst>
            <a:ext uri="{FF2B5EF4-FFF2-40B4-BE49-F238E27FC236}">
              <a16:creationId xmlns:a16="http://schemas.microsoft.com/office/drawing/2014/main" id="{00000000-0008-0000-0A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a:extLst>
            <a:ext uri="{FF2B5EF4-FFF2-40B4-BE49-F238E27FC236}">
              <a16:creationId xmlns:a16="http://schemas.microsoft.com/office/drawing/2014/main" id="{00000000-0008-0000-0A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a:extLst>
            <a:ext uri="{FF2B5EF4-FFF2-40B4-BE49-F238E27FC236}">
              <a16:creationId xmlns:a16="http://schemas.microsoft.com/office/drawing/2014/main" id="{00000000-0008-0000-0A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0A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xdr:col>
      <xdr:colOff>0</xdr:colOff>
      <xdr:row>26</xdr:row>
      <xdr:rowOff>0</xdr:rowOff>
    </xdr:from>
    <xdr:to>
      <xdr:col>10</xdr:col>
      <xdr:colOff>0</xdr:colOff>
      <xdr:row>27</xdr:row>
      <xdr:rowOff>1</xdr:rowOff>
    </xdr:to>
    <xdr:sp macro="" textlink="">
      <xdr:nvSpPr>
        <xdr:cNvPr id="48" name="Rectangle 47">
          <a:extLst>
            <a:ext uri="{FF2B5EF4-FFF2-40B4-BE49-F238E27FC236}">
              <a16:creationId xmlns:a16="http://schemas.microsoft.com/office/drawing/2014/main" id="{00000000-0008-0000-0A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30" name="MENU7">
          <a:extLst>
            <a:ext uri="{FF2B5EF4-FFF2-40B4-BE49-F238E27FC236}">
              <a16:creationId xmlns:a16="http://schemas.microsoft.com/office/drawing/2014/main" id="{00000000-0008-0000-0A00-00001E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0A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M1S7</a:t>
          </a:fld>
          <a:endParaRPr lang="en-US" sz="1100">
            <a:no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0</xdr:colOff>
      <xdr:row>0</xdr:row>
      <xdr:rowOff>0</xdr:rowOff>
    </xdr:from>
    <xdr:to>
      <xdr:col>44</xdr:col>
      <xdr:colOff>0</xdr:colOff>
      <xdr:row>3</xdr:row>
      <xdr:rowOff>0</xdr:rowOff>
    </xdr:to>
    <xdr:sp macro="" textlink="">
      <xdr:nvSpPr>
        <xdr:cNvPr id="11" name="COMPLETION">
          <a:hlinkClick xmlns:r="http://schemas.openxmlformats.org/officeDocument/2006/relationships" r:id="rId1"/>
          <a:extLst>
            <a:ext uri="{FF2B5EF4-FFF2-40B4-BE49-F238E27FC236}">
              <a16:creationId xmlns:a16="http://schemas.microsoft.com/office/drawing/2014/main" id="{00000000-0008-0000-0B00-00000B000000}"/>
            </a:ext>
          </a:extLst>
        </xdr:cNvPr>
        <xdr:cNvSpPr/>
      </xdr:nvSpPr>
      <xdr:spPr>
        <a:xfrm>
          <a:off x="12236824" y="0"/>
          <a:ext cx="1568823" cy="605118"/>
        </a:xfrm>
        <a:prstGeom prst="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Arial" panose="020B0604020202020204" pitchFamily="34" charset="0"/>
              <a:cs typeface="Arial" panose="020B0604020202020204" pitchFamily="34" charset="0"/>
            </a:rPr>
            <a:t>Completion Form</a:t>
          </a:r>
        </a:p>
      </xdr:txBody>
    </xdr:sp>
    <xdr:clientData/>
  </xdr:twoCellAnchor>
  <xdr:twoCellAnchor>
    <xdr:from>
      <xdr:col>13</xdr:col>
      <xdr:colOff>123265</xdr:colOff>
      <xdr:row>154</xdr:row>
      <xdr:rowOff>0</xdr:rowOff>
    </xdr:from>
    <xdr:to>
      <xdr:col>15</xdr:col>
      <xdr:colOff>56029</xdr:colOff>
      <xdr:row>155</xdr:row>
      <xdr:rowOff>11206</xdr:rowOff>
    </xdr:to>
    <xdr:sp macro="" textlink="">
      <xdr:nvSpPr>
        <xdr:cNvPr id="32" name="Rectangle 31">
          <a:hlinkClick xmlns:r="http://schemas.openxmlformats.org/officeDocument/2006/relationships" r:id="rId2"/>
          <a:extLst>
            <a:ext uri="{FF2B5EF4-FFF2-40B4-BE49-F238E27FC236}">
              <a16:creationId xmlns:a16="http://schemas.microsoft.com/office/drawing/2014/main" id="{00000000-0008-0000-0B00-000020000000}"/>
            </a:ext>
          </a:extLst>
        </xdr:cNvPr>
        <xdr:cNvSpPr/>
      </xdr:nvSpPr>
      <xdr:spPr>
        <a:xfrm>
          <a:off x="4209490" y="3000375"/>
          <a:ext cx="561414" cy="211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78441</xdr:colOff>
      <xdr:row>163</xdr:row>
      <xdr:rowOff>0</xdr:rowOff>
    </xdr:from>
    <xdr:to>
      <xdr:col>21</xdr:col>
      <xdr:colOff>78441</xdr:colOff>
      <xdr:row>164</xdr:row>
      <xdr:rowOff>0</xdr:rowOff>
    </xdr:to>
    <xdr:sp macro="" textlink="">
      <xdr:nvSpPr>
        <xdr:cNvPr id="33" name="Rectangle 32">
          <a:hlinkClick xmlns:r="http://schemas.openxmlformats.org/officeDocument/2006/relationships" r:id="rId2"/>
          <a:extLst>
            <a:ext uri="{FF2B5EF4-FFF2-40B4-BE49-F238E27FC236}">
              <a16:creationId xmlns:a16="http://schemas.microsoft.com/office/drawing/2014/main" id="{00000000-0008-0000-0B00-000021000000}"/>
            </a:ext>
          </a:extLst>
        </xdr:cNvPr>
        <xdr:cNvSpPr/>
      </xdr:nvSpPr>
      <xdr:spPr>
        <a:xfrm>
          <a:off x="3529853" y="20775706"/>
          <a:ext cx="3137647"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156883</xdr:colOff>
      <xdr:row>222</xdr:row>
      <xdr:rowOff>0</xdr:rowOff>
    </xdr:from>
    <xdr:to>
      <xdr:col>13</xdr:col>
      <xdr:colOff>291353</xdr:colOff>
      <xdr:row>222</xdr:row>
      <xdr:rowOff>156883</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1098177" y="23397882"/>
          <a:ext cx="1703294"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226</xdr:row>
      <xdr:rowOff>8369</xdr:rowOff>
    </xdr:from>
    <xdr:to>
      <xdr:col>6</xdr:col>
      <xdr:colOff>299424</xdr:colOff>
      <xdr:row>230</xdr:row>
      <xdr:rowOff>0</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7529" y="40349545"/>
          <a:ext cx="1554483" cy="798455"/>
        </a:xfrm>
        <a:prstGeom prst="rect">
          <a:avLst/>
        </a:prstGeom>
      </xdr:spPr>
    </xdr:pic>
    <xdr:clientData/>
  </xdr:twoCellAnchor>
  <xdr:twoCellAnchor editAs="oneCell">
    <xdr:from>
      <xdr:col>0</xdr:col>
      <xdr:colOff>291353</xdr:colOff>
      <xdr:row>0</xdr:row>
      <xdr:rowOff>0</xdr:rowOff>
    </xdr:from>
    <xdr:to>
      <xdr:col>44</xdr:col>
      <xdr:colOff>11206</xdr:colOff>
      <xdr:row>10</xdr:row>
      <xdr:rowOff>12909</xdr:rowOff>
    </xdr:to>
    <xdr:pic>
      <xdr:nvPicPr>
        <xdr:cNvPr id="4" name="Picture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1353" y="0"/>
          <a:ext cx="13525500" cy="2029968"/>
        </a:xfrm>
        <a:prstGeom prst="rect">
          <a:avLst/>
        </a:prstGeom>
      </xdr:spPr>
    </xdr:pic>
    <xdr:clientData/>
  </xdr:twoCellAnchor>
  <xdr:twoCellAnchor>
    <xdr:from>
      <xdr:col>22</xdr:col>
      <xdr:colOff>201706</xdr:colOff>
      <xdr:row>16</xdr:row>
      <xdr:rowOff>0</xdr:rowOff>
    </xdr:from>
    <xdr:to>
      <xdr:col>29</xdr:col>
      <xdr:colOff>89647</xdr:colOff>
      <xdr:row>16</xdr:row>
      <xdr:rowOff>201705</xdr:rowOff>
    </xdr:to>
    <xdr:sp macro="" textlink="">
      <xdr:nvSpPr>
        <xdr:cNvPr id="2" name="Rectangle 1">
          <a:hlinkClick xmlns:r="http://schemas.openxmlformats.org/officeDocument/2006/relationships" r:id="rId6"/>
          <a:extLst>
            <a:ext uri="{FF2B5EF4-FFF2-40B4-BE49-F238E27FC236}">
              <a16:creationId xmlns:a16="http://schemas.microsoft.com/office/drawing/2014/main" id="{00000000-0008-0000-0B00-000002000000}"/>
            </a:ext>
          </a:extLst>
        </xdr:cNvPr>
        <xdr:cNvSpPr/>
      </xdr:nvSpPr>
      <xdr:spPr>
        <a:xfrm>
          <a:off x="7104530" y="3227294"/>
          <a:ext cx="2084293"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31</xdr:col>
      <xdr:colOff>0</xdr:colOff>
      <xdr:row>21</xdr:row>
      <xdr:rowOff>0</xdr:rowOff>
    </xdr:from>
    <xdr:to>
      <xdr:col>34</xdr:col>
      <xdr:colOff>194975</xdr:colOff>
      <xdr:row>24</xdr:row>
      <xdr:rowOff>1</xdr:rowOff>
    </xdr:to>
    <xdr:pic>
      <xdr:nvPicPr>
        <xdr:cNvPr id="29" name="LOGO2">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66</xdr:row>
      <xdr:rowOff>123265</xdr:rowOff>
    </xdr:from>
    <xdr:to>
      <xdr:col>16</xdr:col>
      <xdr:colOff>11206</xdr:colOff>
      <xdr:row>67</xdr:row>
      <xdr:rowOff>100853</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00000000-0008-0000-0C00-000019000000}"/>
            </a:ext>
          </a:extLst>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8" name="MENU7">
          <a:extLst>
            <a:ext uri="{FF2B5EF4-FFF2-40B4-BE49-F238E27FC236}">
              <a16:creationId xmlns:a16="http://schemas.microsoft.com/office/drawing/2014/main" id="{00000000-0008-0000-0C00-00001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0C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M1S7</a:t>
          </a:fld>
          <a:endParaRPr lang="en-US" sz="1100">
            <a:noFill/>
          </a:endParaRPr>
        </a:p>
      </xdr:txBody>
    </xdr:sp>
    <xdr:clientData/>
  </xdr:twoCellAnchor>
  <xdr:twoCellAnchor editAs="oneCell">
    <xdr:from>
      <xdr:col>2</xdr:col>
      <xdr:colOff>0</xdr:colOff>
      <xdr:row>200</xdr:row>
      <xdr:rowOff>11293</xdr:rowOff>
    </xdr:from>
    <xdr:to>
      <xdr:col>6</xdr:col>
      <xdr:colOff>299424</xdr:colOff>
      <xdr:row>204</xdr:row>
      <xdr:rowOff>30256</xdr:rowOff>
    </xdr:to>
    <xdr:pic>
      <xdr:nvPicPr>
        <xdr:cNvPr id="32" name="Pictur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650" y="10612618"/>
          <a:ext cx="1556724" cy="790488"/>
        </a:xfrm>
        <a:prstGeom prst="rect">
          <a:avLst/>
        </a:prstGeom>
      </xdr:spPr>
    </xdr:pic>
    <xdr:clientData/>
  </xdr:twoCellAnchor>
  <xdr:twoCellAnchor>
    <xdr:from>
      <xdr:col>18</xdr:col>
      <xdr:colOff>314324</xdr:colOff>
      <xdr:row>12</xdr:row>
      <xdr:rowOff>0</xdr:rowOff>
    </xdr:from>
    <xdr:to>
      <xdr:col>23</xdr:col>
      <xdr:colOff>314324</xdr:colOff>
      <xdr:row>15</xdr:row>
      <xdr:rowOff>0</xdr:rowOff>
    </xdr:to>
    <xdr:sp macro="" textlink="MAIN7">
      <xdr:nvSpPr>
        <xdr:cNvPr id="39" name="MENU7" hidden="1">
          <a:extLst>
            <a:ext uri="{FF2B5EF4-FFF2-40B4-BE49-F238E27FC236}">
              <a16:creationId xmlns:a16="http://schemas.microsoft.com/office/drawing/2014/main" id="{00000000-0008-0000-0C00-000027000000}"/>
            </a:ext>
          </a:extLst>
        </xdr:cNvPr>
        <xdr:cNvSpPr/>
      </xdr:nvSpPr>
      <xdr:spPr>
        <a:xfrm>
          <a:off x="5972174" y="2400300"/>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15</xdr:row>
      <xdr:rowOff>0</xdr:rowOff>
    </xdr:from>
    <xdr:to>
      <xdr:col>3</xdr:col>
      <xdr:colOff>312005</xdr:colOff>
      <xdr:row>17</xdr:row>
      <xdr:rowOff>1681</xdr:rowOff>
    </xdr:to>
    <xdr:sp macro="" textlink="">
      <xdr:nvSpPr>
        <xdr:cNvPr id="41" name="BACK">
          <a:hlinkClick xmlns:r="http://schemas.openxmlformats.org/officeDocument/2006/relationships" r:id="rId4"/>
          <a:extLst>
            <a:ext uri="{FF2B5EF4-FFF2-40B4-BE49-F238E27FC236}">
              <a16:creationId xmlns:a16="http://schemas.microsoft.com/office/drawing/2014/main" id="{00000000-0008-0000-0C00-000029000000}"/>
            </a:ext>
          </a:extLst>
        </xdr:cNvPr>
        <xdr:cNvSpPr>
          <a:spLocks noChangeAspect="1"/>
        </xdr:cNvSpPr>
      </xdr:nvSpPr>
      <xdr:spPr>
        <a:xfrm>
          <a:off x="627529" y="3025588"/>
          <a:ext cx="625770" cy="405093"/>
        </a:xfrm>
        <a:prstGeom prst="leftArrow">
          <a:avLst/>
        </a:prstGeom>
        <a:solidFill>
          <a:srgbClr val="439639"/>
        </a:solidFill>
        <a:ln>
          <a:solidFill>
            <a:srgbClr val="43963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18</xdr:col>
      <xdr:colOff>314324</xdr:colOff>
      <xdr:row>12</xdr:row>
      <xdr:rowOff>0</xdr:rowOff>
    </xdr:from>
    <xdr:to>
      <xdr:col>23</xdr:col>
      <xdr:colOff>314324</xdr:colOff>
      <xdr:row>15</xdr:row>
      <xdr:rowOff>0</xdr:rowOff>
    </xdr:to>
    <xdr:sp macro="" textlink="MAIN7">
      <xdr:nvSpPr>
        <xdr:cNvPr id="12" name="MENU7" hidden="1">
          <a:extLst>
            <a:ext uri="{FF2B5EF4-FFF2-40B4-BE49-F238E27FC236}">
              <a16:creationId xmlns:a16="http://schemas.microsoft.com/office/drawing/2014/main" id="{00000000-0008-0000-0C00-00000C000000}"/>
            </a:ext>
          </a:extLst>
        </xdr:cNvPr>
        <xdr:cNvSpPr/>
      </xdr:nvSpPr>
      <xdr:spPr>
        <a:xfrm>
          <a:off x="5972174" y="2400300"/>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0</xdr:col>
      <xdr:colOff>280147</xdr:colOff>
      <xdr:row>0</xdr:row>
      <xdr:rowOff>0</xdr:rowOff>
    </xdr:from>
    <xdr:to>
      <xdr:col>44</xdr:col>
      <xdr:colOff>0</xdr:colOff>
      <xdr:row>10</xdr:row>
      <xdr:rowOff>12909</xdr:rowOff>
    </xdr:to>
    <xdr:pic>
      <xdr:nvPicPr>
        <xdr:cNvPr id="13" name="Picture 12">
          <a:extLst>
            <a:ext uri="{FF2B5EF4-FFF2-40B4-BE49-F238E27FC236}">
              <a16:creationId xmlns:a16="http://schemas.microsoft.com/office/drawing/2014/main" id="{00000000-0008-0000-0C00-00000D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0147" y="0"/>
          <a:ext cx="13525500" cy="2029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72</xdr:col>
      <xdr:colOff>161925</xdr:colOff>
      <xdr:row>25</xdr:row>
      <xdr:rowOff>0</xdr:rowOff>
    </xdr:from>
    <xdr:to>
      <xdr:col>16384</xdr:col>
      <xdr:colOff>607919</xdr:colOff>
      <xdr:row>25</xdr:row>
      <xdr:rowOff>0</xdr:rowOff>
    </xdr:to>
    <xdr:pic>
      <xdr:nvPicPr>
        <xdr:cNvPr id="24" name="Picture 4" descr="Ameren_MO_1C1.png">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50</xdr:row>
      <xdr:rowOff>0</xdr:rowOff>
    </xdr:from>
    <xdr:to>
      <xdr:col>52</xdr:col>
      <xdr:colOff>0</xdr:colOff>
      <xdr:row>51</xdr:row>
      <xdr:rowOff>0</xdr:rowOff>
    </xdr:to>
    <xdr:sp macro="" textlink="">
      <xdr:nvSpPr>
        <xdr:cNvPr id="25" name="TextBox 24">
          <a:hlinkClick xmlns:r="http://schemas.openxmlformats.org/officeDocument/2006/relationships" r:id="rId2"/>
          <a:extLst>
            <a:ext uri="{FF2B5EF4-FFF2-40B4-BE49-F238E27FC236}">
              <a16:creationId xmlns:a16="http://schemas.microsoft.com/office/drawing/2014/main" id="{00000000-0008-0000-0D00-000019000000}"/>
            </a:ext>
          </a:extLst>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xdr:from>
      <xdr:col>51</xdr:col>
      <xdr:colOff>0</xdr:colOff>
      <xdr:row>49</xdr:row>
      <xdr:rowOff>197069</xdr:rowOff>
    </xdr:from>
    <xdr:to>
      <xdr:col>52</xdr:col>
      <xdr:colOff>0</xdr:colOff>
      <xdr:row>50</xdr:row>
      <xdr:rowOff>197069</xdr:rowOff>
    </xdr:to>
    <xdr:sp macro="" textlink="">
      <xdr:nvSpPr>
        <xdr:cNvPr id="45" name="TextBox 44">
          <a:hlinkClick xmlns:r="http://schemas.openxmlformats.org/officeDocument/2006/relationships" r:id="rId2"/>
          <a:extLst>
            <a:ext uri="{FF2B5EF4-FFF2-40B4-BE49-F238E27FC236}">
              <a16:creationId xmlns:a16="http://schemas.microsoft.com/office/drawing/2014/main" id="{00000000-0008-0000-0D00-00002D000000}"/>
            </a:ext>
          </a:extLst>
        </xdr:cNvPr>
        <xdr:cNvSpPr txBox="1"/>
      </xdr:nvSpPr>
      <xdr:spPr>
        <a:xfrm>
          <a:off x="4706471" y="9273834"/>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rgbClr val="0000FF"/>
              </a:solidFill>
            </a:rPr>
            <a:t>EDIT</a:t>
          </a:r>
        </a:p>
      </xdr:txBody>
    </xdr:sp>
    <xdr:clientData/>
  </xdr:twoCellAnchor>
  <xdr:twoCellAnchor editAs="oneCell">
    <xdr:from>
      <xdr:col>31</xdr:col>
      <xdr:colOff>0</xdr:colOff>
      <xdr:row>21</xdr:row>
      <xdr:rowOff>0</xdr:rowOff>
    </xdr:from>
    <xdr:to>
      <xdr:col>34</xdr:col>
      <xdr:colOff>194975</xdr:colOff>
      <xdr:row>24</xdr:row>
      <xdr:rowOff>1</xdr:rowOff>
    </xdr:to>
    <xdr:pic>
      <xdr:nvPicPr>
        <xdr:cNvPr id="30" name="LOGO2">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69</xdr:row>
          <xdr:rowOff>171450</xdr:rowOff>
        </xdr:from>
        <xdr:to>
          <xdr:col>25</xdr:col>
          <xdr:colOff>0</xdr:colOff>
          <xdr:row>70</xdr:row>
          <xdr:rowOff>190500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D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70</xdr:row>
          <xdr:rowOff>171450</xdr:rowOff>
        </xdr:from>
        <xdr:to>
          <xdr:col>25</xdr:col>
          <xdr:colOff>0</xdr:colOff>
          <xdr:row>71</xdr:row>
          <xdr:rowOff>190500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D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11205</xdr:colOff>
      <xdr:row>68</xdr:row>
      <xdr:rowOff>0</xdr:rowOff>
    </xdr:from>
    <xdr:to>
      <xdr:col>34</xdr:col>
      <xdr:colOff>291352</xdr:colOff>
      <xdr:row>68</xdr:row>
      <xdr:rowOff>179294</xdr:rowOff>
    </xdr:to>
    <xdr:sp macro="" textlink="">
      <xdr:nvSpPr>
        <xdr:cNvPr id="33" name="Rectangle 32">
          <a:hlinkClick xmlns:r="http://schemas.openxmlformats.org/officeDocument/2006/relationships" r:id="rId4"/>
          <a:extLst>
            <a:ext uri="{FF2B5EF4-FFF2-40B4-BE49-F238E27FC236}">
              <a16:creationId xmlns:a16="http://schemas.microsoft.com/office/drawing/2014/main" id="{00000000-0008-0000-0D00-000021000000}"/>
            </a:ext>
          </a:extLst>
        </xdr:cNvPr>
        <xdr:cNvSpPr/>
      </xdr:nvSpPr>
      <xdr:spPr>
        <a:xfrm>
          <a:off x="9424146" y="123040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63</xdr:row>
      <xdr:rowOff>197224</xdr:rowOff>
    </xdr:from>
    <xdr:to>
      <xdr:col>13</xdr:col>
      <xdr:colOff>145677</xdr:colOff>
      <xdr:row>64</xdr:row>
      <xdr:rowOff>156883</xdr:rowOff>
    </xdr:to>
    <xdr:sp macro="" textlink="">
      <xdr:nvSpPr>
        <xdr:cNvPr id="34" name="Rectangle 33">
          <a:hlinkClick xmlns:r="http://schemas.openxmlformats.org/officeDocument/2006/relationships" r:id="rId5"/>
          <a:extLst>
            <a:ext uri="{FF2B5EF4-FFF2-40B4-BE49-F238E27FC236}">
              <a16:creationId xmlns:a16="http://schemas.microsoft.com/office/drawing/2014/main" id="{00000000-0008-0000-0D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159121</xdr:colOff>
      <xdr:row>56</xdr:row>
      <xdr:rowOff>181536</xdr:rowOff>
    </xdr:from>
    <xdr:to>
      <xdr:col>16</xdr:col>
      <xdr:colOff>56030</xdr:colOff>
      <xdr:row>57</xdr:row>
      <xdr:rowOff>145677</xdr:rowOff>
    </xdr:to>
    <xdr:sp macro="" textlink="">
      <xdr:nvSpPr>
        <xdr:cNvPr id="36" name="Rectangle 35">
          <a:hlinkClick xmlns:r="http://schemas.openxmlformats.org/officeDocument/2006/relationships" r:id="rId6"/>
          <a:extLst>
            <a:ext uri="{FF2B5EF4-FFF2-40B4-BE49-F238E27FC236}">
              <a16:creationId xmlns:a16="http://schemas.microsoft.com/office/drawing/2014/main" id="{00000000-0008-0000-0D00-000024000000}"/>
            </a:ext>
          </a:extLst>
        </xdr:cNvPr>
        <xdr:cNvSpPr/>
      </xdr:nvSpPr>
      <xdr:spPr>
        <a:xfrm>
          <a:off x="4551827" y="10065124"/>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165844</xdr:colOff>
      <xdr:row>56</xdr:row>
      <xdr:rowOff>165847</xdr:rowOff>
    </xdr:from>
    <xdr:to>
      <xdr:col>18</xdr:col>
      <xdr:colOff>123263</xdr:colOff>
      <xdr:row>57</xdr:row>
      <xdr:rowOff>134471</xdr:rowOff>
    </xdr:to>
    <xdr:sp macro="" textlink="">
      <xdr:nvSpPr>
        <xdr:cNvPr id="37" name="Rectangle 36">
          <a:hlinkClick xmlns:r="http://schemas.openxmlformats.org/officeDocument/2006/relationships" r:id="rId2"/>
          <a:extLst>
            <a:ext uri="{FF2B5EF4-FFF2-40B4-BE49-F238E27FC236}">
              <a16:creationId xmlns:a16="http://schemas.microsoft.com/office/drawing/2014/main" id="{00000000-0008-0000-0D00-000025000000}"/>
            </a:ext>
          </a:extLst>
        </xdr:cNvPr>
        <xdr:cNvSpPr/>
      </xdr:nvSpPr>
      <xdr:spPr>
        <a:xfrm>
          <a:off x="5186079" y="10049435"/>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48</xdr:row>
      <xdr:rowOff>15688</xdr:rowOff>
    </xdr:from>
    <xdr:to>
      <xdr:col>11</xdr:col>
      <xdr:colOff>221879</xdr:colOff>
      <xdr:row>48</xdr:row>
      <xdr:rowOff>181535</xdr:rowOff>
    </xdr:to>
    <xdr:sp macro="" textlink="">
      <xdr:nvSpPr>
        <xdr:cNvPr id="35" name="Rectangle 34">
          <a:hlinkClick xmlns:r="http://schemas.openxmlformats.org/officeDocument/2006/relationships" r:id="rId6"/>
          <a:extLst>
            <a:ext uri="{FF2B5EF4-FFF2-40B4-BE49-F238E27FC236}">
              <a16:creationId xmlns:a16="http://schemas.microsoft.com/office/drawing/2014/main" id="{00000000-0008-0000-0D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46</xdr:row>
      <xdr:rowOff>201705</xdr:rowOff>
    </xdr:from>
    <xdr:to>
      <xdr:col>11</xdr:col>
      <xdr:colOff>277906</xdr:colOff>
      <xdr:row>47</xdr:row>
      <xdr:rowOff>170329</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00000000-0008-0000-0D00-000027000000}"/>
            </a:ext>
          </a:extLst>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0" name="MENU7">
          <a:extLst>
            <a:ext uri="{FF2B5EF4-FFF2-40B4-BE49-F238E27FC236}">
              <a16:creationId xmlns:a16="http://schemas.microsoft.com/office/drawing/2014/main" id="{00000000-0008-0000-0D00-00002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41" name="MENU7">
          <a:extLst>
            <a:ext uri="{FF2B5EF4-FFF2-40B4-BE49-F238E27FC236}">
              <a16:creationId xmlns:a16="http://schemas.microsoft.com/office/drawing/2014/main" id="{00000000-0008-0000-0D00-00002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M1S7</a:t>
          </a:fld>
          <a:endParaRPr lang="en-US" sz="1100">
            <a:no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19050</xdr:colOff>
          <xdr:row>76</xdr:row>
          <xdr:rowOff>200025</xdr:rowOff>
        </xdr:from>
        <xdr:to>
          <xdr:col>11</xdr:col>
          <xdr:colOff>38100</xdr:colOff>
          <xdr:row>78</xdr:row>
          <xdr:rowOff>0</xdr:rowOff>
        </xdr:to>
        <xdr:sp macro="" textlink="">
          <xdr:nvSpPr>
            <xdr:cNvPr id="40965" name="M06S05C01" hidden="1">
              <a:extLst>
                <a:ext uri="{63B3BB69-23CF-44E3-9099-C40C66FF867C}">
                  <a14:compatExt spid="_x0000_s40965"/>
                </a:ext>
                <a:ext uri="{FF2B5EF4-FFF2-40B4-BE49-F238E27FC236}">
                  <a16:creationId xmlns:a16="http://schemas.microsoft.com/office/drawing/2014/main" id="{00000000-0008-0000-0D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200025</xdr:rowOff>
        </xdr:from>
        <xdr:to>
          <xdr:col>26</xdr:col>
          <xdr:colOff>0</xdr:colOff>
          <xdr:row>78</xdr:row>
          <xdr:rowOff>0</xdr:rowOff>
        </xdr:to>
        <xdr:sp macro="" textlink="">
          <xdr:nvSpPr>
            <xdr:cNvPr id="40966" name="M06S05C02" hidden="1">
              <a:extLst>
                <a:ext uri="{63B3BB69-23CF-44E3-9099-C40C66FF867C}">
                  <a14:compatExt spid="_x0000_s40966"/>
                </a:ext>
                <a:ext uri="{FF2B5EF4-FFF2-40B4-BE49-F238E27FC236}">
                  <a16:creationId xmlns:a16="http://schemas.microsoft.com/office/drawing/2014/main" id="{00000000-0008-0000-0D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314324</xdr:colOff>
      <xdr:row>1</xdr:row>
      <xdr:rowOff>0</xdr:rowOff>
    </xdr:from>
    <xdr:to>
      <xdr:col>41</xdr:col>
      <xdr:colOff>314324</xdr:colOff>
      <xdr:row>4</xdr:row>
      <xdr:rowOff>0</xdr:rowOff>
    </xdr:to>
    <xdr:sp macro="" textlink="MAIN7">
      <xdr:nvSpPr>
        <xdr:cNvPr id="69" name="MENU7">
          <a:extLst>
            <a:ext uri="{FF2B5EF4-FFF2-40B4-BE49-F238E27FC236}">
              <a16:creationId xmlns:a16="http://schemas.microsoft.com/office/drawing/2014/main" id="{00000000-0008-0000-0D00-00004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70" name="MENU7">
          <a:extLst>
            <a:ext uri="{FF2B5EF4-FFF2-40B4-BE49-F238E27FC236}">
              <a16:creationId xmlns:a16="http://schemas.microsoft.com/office/drawing/2014/main" id="{00000000-0008-0000-0D00-00004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71" name="MENU7">
          <a:extLst>
            <a:ext uri="{FF2B5EF4-FFF2-40B4-BE49-F238E27FC236}">
              <a16:creationId xmlns:a16="http://schemas.microsoft.com/office/drawing/2014/main" id="{00000000-0008-0000-0D00-00004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M1S7</a:t>
          </a:fld>
          <a:endParaRPr lang="en-US" sz="1100">
            <a:noFill/>
          </a:endParaRPr>
        </a:p>
      </xdr:txBody>
    </xdr:sp>
    <xdr:clientData/>
  </xdr:twoCellAnchor>
  <xdr:twoCellAnchor>
    <xdr:from>
      <xdr:col>18</xdr:col>
      <xdr:colOff>314324</xdr:colOff>
      <xdr:row>12</xdr:row>
      <xdr:rowOff>0</xdr:rowOff>
    </xdr:from>
    <xdr:to>
      <xdr:col>23</xdr:col>
      <xdr:colOff>314324</xdr:colOff>
      <xdr:row>15</xdr:row>
      <xdr:rowOff>0</xdr:rowOff>
    </xdr:to>
    <xdr:sp macro="" textlink="MAIN7">
      <xdr:nvSpPr>
        <xdr:cNvPr id="72" name="MENU7" hidden="1">
          <a:extLst>
            <a:ext uri="{FF2B5EF4-FFF2-40B4-BE49-F238E27FC236}">
              <a16:creationId xmlns:a16="http://schemas.microsoft.com/office/drawing/2014/main" id="{00000000-0008-0000-0D00-000048000000}"/>
            </a:ext>
          </a:extLst>
        </xdr:cNvPr>
        <xdr:cNvSpPr/>
      </xdr:nvSpPr>
      <xdr:spPr>
        <a:xfrm>
          <a:off x="5972174" y="2400300"/>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200</xdr:row>
      <xdr:rowOff>11293</xdr:rowOff>
    </xdr:from>
    <xdr:to>
      <xdr:col>6</xdr:col>
      <xdr:colOff>299424</xdr:colOff>
      <xdr:row>204</xdr:row>
      <xdr:rowOff>1681</xdr:rowOff>
    </xdr:to>
    <xdr:pic>
      <xdr:nvPicPr>
        <xdr:cNvPr id="75" name="Picture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8650" y="16813393"/>
          <a:ext cx="1556724" cy="790488"/>
        </a:xfrm>
        <a:prstGeom prst="rect">
          <a:avLst/>
        </a:prstGeom>
      </xdr:spPr>
    </xdr:pic>
    <xdr:clientData/>
  </xdr:twoCellAnchor>
  <xdr:twoCellAnchor editAs="oneCell">
    <xdr:from>
      <xdr:col>2</xdr:col>
      <xdr:colOff>0</xdr:colOff>
      <xdr:row>15</xdr:row>
      <xdr:rowOff>0</xdr:rowOff>
    </xdr:from>
    <xdr:to>
      <xdr:col>3</xdr:col>
      <xdr:colOff>311204</xdr:colOff>
      <xdr:row>17</xdr:row>
      <xdr:rowOff>6483</xdr:rowOff>
    </xdr:to>
    <xdr:sp macro="" textlink="">
      <xdr:nvSpPr>
        <xdr:cNvPr id="76" name="BACK">
          <a:hlinkClick xmlns:r="http://schemas.openxmlformats.org/officeDocument/2006/relationships" r:id="rId8"/>
          <a:extLst>
            <a:ext uri="{FF2B5EF4-FFF2-40B4-BE49-F238E27FC236}">
              <a16:creationId xmlns:a16="http://schemas.microsoft.com/office/drawing/2014/main" id="{00000000-0008-0000-0D00-00004C000000}"/>
            </a:ext>
          </a:extLst>
        </xdr:cNvPr>
        <xdr:cNvSpPr>
          <a:spLocks noChangeAspect="1"/>
        </xdr:cNvSpPr>
      </xdr:nvSpPr>
      <xdr:spPr>
        <a:xfrm>
          <a:off x="627529" y="3025588"/>
          <a:ext cx="624969" cy="409895"/>
        </a:xfrm>
        <a:prstGeom prst="leftArrow">
          <a:avLst/>
        </a:prstGeom>
        <a:solidFill>
          <a:srgbClr val="439639"/>
        </a:solidFill>
        <a:ln>
          <a:solidFill>
            <a:srgbClr val="43963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18</xdr:col>
      <xdr:colOff>314324</xdr:colOff>
      <xdr:row>12</xdr:row>
      <xdr:rowOff>0</xdr:rowOff>
    </xdr:from>
    <xdr:to>
      <xdr:col>23</xdr:col>
      <xdr:colOff>314324</xdr:colOff>
      <xdr:row>15</xdr:row>
      <xdr:rowOff>0</xdr:rowOff>
    </xdr:to>
    <xdr:sp macro="" textlink="MAIN7">
      <xdr:nvSpPr>
        <xdr:cNvPr id="27" name="MENU7" hidden="1">
          <a:extLst>
            <a:ext uri="{FF2B5EF4-FFF2-40B4-BE49-F238E27FC236}">
              <a16:creationId xmlns:a16="http://schemas.microsoft.com/office/drawing/2014/main" id="{00000000-0008-0000-0D00-00001B000000}"/>
            </a:ext>
          </a:extLst>
        </xdr:cNvPr>
        <xdr:cNvSpPr/>
      </xdr:nvSpPr>
      <xdr:spPr>
        <a:xfrm>
          <a:off x="5972174" y="2400300"/>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15</xdr:row>
      <xdr:rowOff>0</xdr:rowOff>
    </xdr:from>
    <xdr:to>
      <xdr:col>3</xdr:col>
      <xdr:colOff>312005</xdr:colOff>
      <xdr:row>17</xdr:row>
      <xdr:rowOff>1681</xdr:rowOff>
    </xdr:to>
    <xdr:sp macro="" textlink="">
      <xdr:nvSpPr>
        <xdr:cNvPr id="28" name="BACK">
          <a:hlinkClick xmlns:r="http://schemas.openxmlformats.org/officeDocument/2006/relationships" r:id="rId8"/>
          <a:extLst>
            <a:ext uri="{FF2B5EF4-FFF2-40B4-BE49-F238E27FC236}">
              <a16:creationId xmlns:a16="http://schemas.microsoft.com/office/drawing/2014/main" id="{00000000-0008-0000-0D00-00001C000000}"/>
            </a:ext>
          </a:extLst>
        </xdr:cNvPr>
        <xdr:cNvSpPr>
          <a:spLocks noChangeAspect="1"/>
        </xdr:cNvSpPr>
      </xdr:nvSpPr>
      <xdr:spPr>
        <a:xfrm>
          <a:off x="628650" y="3000375"/>
          <a:ext cx="626330" cy="401731"/>
        </a:xfrm>
        <a:prstGeom prst="leftArrow">
          <a:avLst/>
        </a:prstGeom>
        <a:solidFill>
          <a:srgbClr val="439639"/>
        </a:solidFill>
        <a:ln>
          <a:solidFill>
            <a:srgbClr val="43963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0</xdr:col>
      <xdr:colOff>291354</xdr:colOff>
      <xdr:row>0</xdr:row>
      <xdr:rowOff>0</xdr:rowOff>
    </xdr:from>
    <xdr:to>
      <xdr:col>44</xdr:col>
      <xdr:colOff>11207</xdr:colOff>
      <xdr:row>10</xdr:row>
      <xdr:rowOff>12909</xdr:rowOff>
    </xdr:to>
    <xdr:pic>
      <xdr:nvPicPr>
        <xdr:cNvPr id="29" name="Picture 28">
          <a:extLst>
            <a:ext uri="{FF2B5EF4-FFF2-40B4-BE49-F238E27FC236}">
              <a16:creationId xmlns:a16="http://schemas.microsoft.com/office/drawing/2014/main" id="{00000000-0008-0000-0D00-00001D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1354" y="0"/>
          <a:ext cx="13525500" cy="20299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8</xdr:row>
      <xdr:rowOff>0</xdr:rowOff>
    </xdr:to>
    <xdr:sp macro="" textlink="M6S6">
      <xdr:nvSpPr>
        <xdr:cNvPr id="16" name="SUBMENU6" hidden="1">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141483-F39D-41F4-A16B-FC68CC4C10D2}" type="TxLink">
            <a:rPr lang="en-US" sz="1100" b="0" i="0" u="none" strike="noStrike">
              <a:solidFill>
                <a:srgbClr val="000000"/>
              </a:solidFill>
              <a:latin typeface="Calibri"/>
              <a:cs typeface="Calibri"/>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13</xdr:row>
      <xdr:rowOff>201705</xdr:rowOff>
    </xdr:from>
    <xdr:to>
      <xdr:col>44</xdr:col>
      <xdr:colOff>0</xdr:colOff>
      <xdr:row>52</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2823881"/>
          <a:ext cx="13491324" cy="7664825"/>
        </a:xfrm>
        <a:prstGeom prst="frame">
          <a:avLst>
            <a:gd name="adj1" fmla="val 97"/>
          </a:avLst>
        </a:prstGeom>
        <a:noFill/>
        <a:ln w="12700" cap="flat" cmpd="sng" algn="ctr">
          <a:solidFill>
            <a:srgbClr val="439639"/>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1760</xdr:colOff>
      <xdr:row>14</xdr:row>
      <xdr:rowOff>200025</xdr:rowOff>
    </xdr:from>
    <xdr:to>
      <xdr:col>4</xdr:col>
      <xdr:colOff>0</xdr:colOff>
      <xdr:row>17</xdr:row>
      <xdr:rowOff>0</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0E00-000014000000}"/>
            </a:ext>
          </a:extLst>
        </xdr:cNvPr>
        <xdr:cNvSpPr>
          <a:spLocks noChangeAspect="1"/>
        </xdr:cNvSpPr>
      </xdr:nvSpPr>
      <xdr:spPr>
        <a:xfrm>
          <a:off x="629289" y="3023907"/>
          <a:ext cx="625770" cy="405093"/>
        </a:xfrm>
        <a:prstGeom prst="leftArrow">
          <a:avLst/>
        </a:prstGeom>
        <a:solidFill>
          <a:srgbClr val="439639"/>
        </a:solidFill>
        <a:ln>
          <a:solidFill>
            <a:srgbClr val="43963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0E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xdr:from>
      <xdr:col>18</xdr:col>
      <xdr:colOff>314324</xdr:colOff>
      <xdr:row>12</xdr:row>
      <xdr:rowOff>0</xdr:rowOff>
    </xdr:from>
    <xdr:to>
      <xdr:col>23</xdr:col>
      <xdr:colOff>314324</xdr:colOff>
      <xdr:row>15</xdr:row>
      <xdr:rowOff>0</xdr:rowOff>
    </xdr:to>
    <xdr:sp macro="" textlink="MAIN7">
      <xdr:nvSpPr>
        <xdr:cNvPr id="24" name="MENU7" hidden="1">
          <a:extLst>
            <a:ext uri="{FF2B5EF4-FFF2-40B4-BE49-F238E27FC236}">
              <a16:creationId xmlns:a16="http://schemas.microsoft.com/office/drawing/2014/main" id="{00000000-0008-0000-0E00-000018000000}"/>
            </a:ext>
          </a:extLst>
        </xdr:cNvPr>
        <xdr:cNvSpPr/>
      </xdr:nvSpPr>
      <xdr:spPr>
        <a:xfrm>
          <a:off x="5972174" y="2400300"/>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200</xdr:row>
      <xdr:rowOff>11293</xdr:rowOff>
    </xdr:from>
    <xdr:to>
      <xdr:col>6</xdr:col>
      <xdr:colOff>299424</xdr:colOff>
      <xdr:row>204</xdr:row>
      <xdr:rowOff>1681</xdr:rowOff>
    </xdr:to>
    <xdr:pic>
      <xdr:nvPicPr>
        <xdr:cNvPr id="26" name="Picture 25">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40016293"/>
          <a:ext cx="1556724" cy="790487"/>
        </a:xfrm>
        <a:prstGeom prst="rect">
          <a:avLst/>
        </a:prstGeom>
      </xdr:spPr>
    </xdr:pic>
    <xdr:clientData/>
  </xdr:twoCellAnchor>
  <xdr:twoCellAnchor>
    <xdr:from>
      <xdr:col>18</xdr:col>
      <xdr:colOff>314324</xdr:colOff>
      <xdr:row>12</xdr:row>
      <xdr:rowOff>0</xdr:rowOff>
    </xdr:from>
    <xdr:to>
      <xdr:col>23</xdr:col>
      <xdr:colOff>314324</xdr:colOff>
      <xdr:row>15</xdr:row>
      <xdr:rowOff>0</xdr:rowOff>
    </xdr:to>
    <xdr:sp macro="" textlink="MAIN7">
      <xdr:nvSpPr>
        <xdr:cNvPr id="10" name="MENU7" hidden="1">
          <a:extLst>
            <a:ext uri="{FF2B5EF4-FFF2-40B4-BE49-F238E27FC236}">
              <a16:creationId xmlns:a16="http://schemas.microsoft.com/office/drawing/2014/main" id="{00000000-0008-0000-0E00-00000A000000}"/>
            </a:ext>
          </a:extLst>
        </xdr:cNvPr>
        <xdr:cNvSpPr/>
      </xdr:nvSpPr>
      <xdr:spPr>
        <a:xfrm>
          <a:off x="5972174" y="2400300"/>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M1S7</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0</xdr:col>
      <xdr:colOff>280147</xdr:colOff>
      <xdr:row>0</xdr:row>
      <xdr:rowOff>0</xdr:rowOff>
    </xdr:from>
    <xdr:to>
      <xdr:col>44</xdr:col>
      <xdr:colOff>0</xdr:colOff>
      <xdr:row>10</xdr:row>
      <xdr:rowOff>12909</xdr:rowOff>
    </xdr:to>
    <xdr:pic>
      <xdr:nvPicPr>
        <xdr:cNvPr id="11" name="Picture 10">
          <a:extLst>
            <a:ext uri="{FF2B5EF4-FFF2-40B4-BE49-F238E27FC236}">
              <a16:creationId xmlns:a16="http://schemas.microsoft.com/office/drawing/2014/main" id="{00000000-0008-0000-0E00-00000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147" y="0"/>
          <a:ext cx="13525500" cy="202996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4000000}" name="CMLIGHTEFF" displayName="CMLIGHTEFF" ref="O1:AA44" totalsRowShown="0" headerRowDxfId="513" dataDxfId="512" headerRowCellStyle="Normal 2">
  <autoFilter ref="O1:AA44" xr:uid="{00000000-0009-0000-0100-000002000000}"/>
  <tableColumns count="13">
    <tableColumn id="10" xr3:uid="{00000000-0010-0000-1400-00000A000000}" name="Measure Number" dataDxfId="511"/>
    <tableColumn id="1" xr3:uid="{00000000-0010-0000-1400-000001000000}" name="Eff Desc 1" dataDxfId="510"/>
    <tableColumn id="2" xr3:uid="{00000000-0010-0000-1400-000002000000}" name="Eff Desc 2" dataDxfId="509"/>
    <tableColumn id="3" xr3:uid="{00000000-0010-0000-1400-000003000000}" name="Eff Watt 1" dataDxfId="508"/>
    <tableColumn id="4" xr3:uid="{00000000-0010-0000-1400-000004000000}" name="Eff Watt 2" dataDxfId="507"/>
    <tableColumn id="5" xr3:uid="{00000000-0010-0000-1400-000005000000}" name="Measure Group" dataDxfId="506"/>
    <tableColumn id="6" xr3:uid="{00000000-0010-0000-1400-000006000000}" name="Measure Subgroup 1" dataDxfId="505"/>
    <tableColumn id="7" xr3:uid="{00000000-0010-0000-1400-000007000000}" name="Measure Subgroup 2" dataDxfId="504"/>
    <tableColumn id="8" xr3:uid="{00000000-0010-0000-1400-000008000000}" name="Unit" dataDxfId="503"/>
    <tableColumn id="9" xr3:uid="{00000000-0010-0000-1400-000009000000}" name="Order" dataDxfId="502"/>
    <tableColumn id="11" xr3:uid="{00000000-0010-0000-1400-00000B000000}" name="Source (Standard Wattage Table)" dataDxfId="501"/>
    <tableColumn id="12" xr3:uid="{00000000-0010-0000-1400-00000C000000}" name="Inc Rate" dataDxfId="500"/>
    <tableColumn id="13" xr3:uid="{00000000-0010-0000-1400-00000D000000}" name="Inc Rate Exterior" dataDxfId="499"/>
  </tableColumns>
  <tableStyleInfo name="TableStyleMedium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CMEMISC" displayName="CMEMISC" ref="AE136:AS144" totalsRowShown="0" headerRowDxfId="376" dataDxfId="375">
  <autoFilter ref="AE136:AS144" xr:uid="{00000000-0009-0000-0100-000027000000}"/>
  <sortState xmlns:xlrd2="http://schemas.microsoft.com/office/spreadsheetml/2017/richdata2" ref="AE125:AS132">
    <sortCondition ref="AO124:AO132"/>
  </sortState>
  <tableColumns count="15">
    <tableColumn id="1" xr3:uid="{00000000-0010-0000-2000-000001000000}" name="Measure Number" dataDxfId="374"/>
    <tableColumn id="14" xr3:uid="{00000000-0010-0000-2000-00000E000000}" name="Project Category" dataDxfId="373"/>
    <tableColumn id="2" xr3:uid="{00000000-0010-0000-2000-000002000000}" name="Proj Desc 1" dataDxfId="372"/>
    <tableColumn id="3" xr3:uid="{00000000-0010-0000-2000-000003000000}" name="Proj Desc 2" dataDxfId="371"/>
    <tableColumn id="4" xr3:uid="{00000000-0010-0000-2000-000004000000}" name="Inc Rate" dataDxfId="370"/>
    <tableColumn id="5" xr3:uid="{00000000-0010-0000-2000-000005000000}" name="EUL" dataDxfId="369"/>
    <tableColumn id="6" xr3:uid="{00000000-0010-0000-2000-000006000000}" name="Measure Group" dataDxfId="368"/>
    <tableColumn id="7" xr3:uid="{00000000-0010-0000-2000-000007000000}" name="Measure Subgroup 1" dataDxfId="367"/>
    <tableColumn id="8" xr3:uid="{00000000-0010-0000-2000-000008000000}" name="Measure Subgroup 2" dataDxfId="366"/>
    <tableColumn id="9" xr3:uid="{00000000-0010-0000-2000-000009000000}" name="Units" dataDxfId="365"/>
    <tableColumn id="10" xr3:uid="{00000000-0010-0000-2000-00000A000000}" name="Order" dataDxfId="364"/>
    <tableColumn id="11" xr3:uid="{00000000-0010-0000-2000-00000B000000}" name="End Use Category" dataDxfId="363"/>
    <tableColumn id="12" xr3:uid="{00000000-0010-0000-2000-00000C000000}" name="Factor" dataDxfId="362"/>
    <tableColumn id="15" xr3:uid="{00000000-0010-0000-2000-00000F000000}" name="Cost Basis" dataDxfId="361"/>
    <tableColumn id="13" xr3:uid="{00000000-0010-0000-2000-00000D000000}" name="Application Tab" dataDxfId="36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1000000}" name="CMLIGHTBASE" displayName="CMLIGHTBASE" ref="A1:M143" totalsRowShown="0" headerRowDxfId="359" dataDxfId="358" headerRowCellStyle="Normal 2">
  <autoFilter ref="A1:M143" xr:uid="{00000000-0009-0000-0100-000001000000}"/>
  <tableColumns count="13">
    <tableColumn id="5" xr3:uid="{00000000-0010-0000-2100-000005000000}" name="Measure Number" dataDxfId="357"/>
    <tableColumn id="1" xr3:uid="{00000000-0010-0000-2100-000001000000}" name="Base Desc 1" dataDxfId="356"/>
    <tableColumn id="2" xr3:uid="{00000000-0010-0000-2100-000002000000}" name="Base Desc 2" dataDxfId="355"/>
    <tableColumn id="3" xr3:uid="{00000000-0010-0000-2100-000003000000}" name="Base Watt 1" dataDxfId="354"/>
    <tableColumn id="4" xr3:uid="{00000000-0010-0000-2100-000004000000}" name="Base Watt 2" dataDxfId="353"/>
    <tableColumn id="7" xr3:uid="{00000000-0010-0000-2100-000007000000}" name="Measure Group" dataDxfId="352"/>
    <tableColumn id="8" xr3:uid="{00000000-0010-0000-2100-000008000000}" name="Measure Subgroup 1" dataDxfId="351"/>
    <tableColumn id="6" xr3:uid="{00000000-0010-0000-2100-000006000000}" name="Measure Subgroup 2" dataDxfId="350"/>
    <tableColumn id="9" xr3:uid="{00000000-0010-0000-2100-000009000000}" name="Unit" dataDxfId="349"/>
    <tableColumn id="10" xr3:uid="{00000000-0010-0000-2100-00000A000000}" name="Order" dataDxfId="348"/>
    <tableColumn id="11" xr3:uid="{00000000-0010-0000-2100-00000B000000}" name="Source (Standard Wattage Table)" dataDxfId="347"/>
    <tableColumn id="12" xr3:uid="{00000000-0010-0000-2100-00000C000000}" name="Inc Rate" dataDxfId="346"/>
    <tableColumn id="13" xr3:uid="{1042EC25-22EE-446E-8D88-FB44F87E790F}" name="Eff Watt 1" dataDxfId="345"/>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99B1D65-CAFB-4E06-B176-F56008976CB7}" name="CFLEFF" displayName="CFLEFF" ref="O47:AA49" totalsRowShown="0" headerRowDxfId="344" dataDxfId="343">
  <autoFilter ref="O47:AA49" xr:uid="{CD9AED8E-D2B9-4333-8F96-27651CA9AF98}"/>
  <tableColumns count="13">
    <tableColumn id="1" xr3:uid="{D3E44635-2E9E-40AD-B7B7-BAA4796A458E}" name="Measure Number" dataDxfId="342"/>
    <tableColumn id="2" xr3:uid="{5A6B0494-B6B2-45F9-9A5E-D36C1D2C4688}" name="Eff Desc 1" dataDxfId="341"/>
    <tableColumn id="3" xr3:uid="{4C455985-39A7-418D-A056-1B0FCDD16471}" name="Eff Desc 2" dataDxfId="340"/>
    <tableColumn id="4" xr3:uid="{3E1101E0-6A00-4844-AADF-39E7F5695E43}" name="Eff Watt 1" dataDxfId="339"/>
    <tableColumn id="5" xr3:uid="{89EC779A-973A-4890-B756-377B51FA214D}" name="Eff Watt 2" dataDxfId="338"/>
    <tableColumn id="6" xr3:uid="{B0DABF70-8EC8-417F-937B-4412A91D1DA8}" name="Measure Group" dataDxfId="337"/>
    <tableColumn id="7" xr3:uid="{6611CB21-09F7-4ED9-AE09-C10238DC7A0C}" name="Measure Subgroup 1" dataDxfId="336"/>
    <tableColumn id="8" xr3:uid="{F35226DB-A619-4EE7-A789-57DDFF08EF40}" name="Measure Subgroup 2" dataDxfId="335"/>
    <tableColumn id="9" xr3:uid="{26FA471C-EDE4-416E-853F-1CD079B83B48}" name="Unit" dataDxfId="334"/>
    <tableColumn id="10" xr3:uid="{D66781A1-9D30-4B68-B16F-436D664B6855}" name="Order" dataDxfId="333"/>
    <tableColumn id="11" xr3:uid="{80D3F852-13A1-42A0-86DE-34E319B2D9F1}" name="Source (Standard Wattage Table)" dataDxfId="332"/>
    <tableColumn id="12" xr3:uid="{73F95163-06C4-4909-843F-B407E58F913F}" name="Inc Rate" dataDxfId="331"/>
    <tableColumn id="13" xr3:uid="{D65D6D91-3D91-48B4-BF98-C547DC1E7697}" name="Inc Rate Exterior" dataDxfId="33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2000000}" name="ELECCB" displayName="ELECCB" ref="A11:K40" totalsRowShown="0" headerRowDxfId="329">
  <autoFilter ref="A11:K40" xr:uid="{00000000-0009-0000-0100-000011000000}"/>
  <tableColumns count="11">
    <tableColumn id="1" xr3:uid="{00000000-0010-0000-2200-000001000000}" name="Year"/>
    <tableColumn id="2" xr3:uid="{00000000-0010-0000-2200-000002000000}" name="Year Number"/>
    <tableColumn id="11" xr3:uid="{00000000-0010-0000-2200-00000B000000}" name="Capacity Reserve Margin"/>
    <tableColumn id="3" xr3:uid="{00000000-0010-0000-2200-000003000000}" name="Elec. AEC Factor" dataDxfId="328"/>
    <tableColumn id="4" xr3:uid="{00000000-0010-0000-2200-000004000000}" name="Avoid Energy Cost $/MWh" dataDxfId="327"/>
    <tableColumn id="5" xr3:uid="{00000000-0010-0000-2200-000005000000}" name="Elec. ACC Factor" dataDxfId="326"/>
    <tableColumn id="6" xr3:uid="{00000000-0010-0000-2200-000006000000}" name="Avoided Capacity Cost $/kW" dataDxfId="325"/>
    <tableColumn id="7" xr3:uid="{00000000-0010-0000-2200-000007000000}" name="AT&amp;D Factor" dataDxfId="324"/>
    <tableColumn id="8" xr3:uid="{00000000-0010-0000-2200-000008000000}" name="Avoided T&amp;D $/kW" dataDxfId="323"/>
    <tableColumn id="9" xr3:uid="{00000000-0010-0000-2200-000009000000}" name="NPV AEC $/kWh" dataDxfId="322">
      <calculatedColumnFormula>NPV($B$7,$E12:$E$13)/1000+$J$12</calculatedColumnFormula>
    </tableColumn>
    <tableColumn id="10" xr3:uid="{00000000-0010-0000-2200-00000A000000}" name="NPV ACC+T&amp;D $/kW" dataDxfId="321">
      <calculatedColumnFormula>$G$12+$I$12</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PMEREFRI" displayName="PMEREFRI" ref="A1:AJ15" totalsRowShown="0" headerRowDxfId="320" dataDxfId="319" headerRowCellStyle="Normal 2" dataCellStyle="Normal 2">
  <autoFilter ref="A1:AJ15" xr:uid="{00000000-0009-0000-0100-000009000000}"/>
  <tableColumns count="36">
    <tableColumn id="1" xr3:uid="{00000000-0010-0000-0200-000001000000}" name="Measure #" dataDxfId="318" dataCellStyle="Normal 2"/>
    <tableColumn id="2" xr3:uid="{00000000-0010-0000-0200-000002000000}" name="Measure Name" dataDxfId="317" dataCellStyle="Normal 2"/>
    <tableColumn id="3" xr3:uid="{00000000-0010-0000-0200-000003000000}" name="Equipment Description" dataDxfId="316" dataCellStyle="Normal 2"/>
    <tableColumn id="4" xr3:uid="{00000000-0010-0000-0200-000004000000}" name="Eff Category" dataDxfId="315" dataCellStyle="Normal 2"/>
    <tableColumn id="5" xr3:uid="{00000000-0010-0000-0200-000005000000}" name="Eff Measure Group" dataDxfId="314" dataCellStyle="Normal 2"/>
    <tableColumn id="6" xr3:uid="{00000000-0010-0000-0200-000006000000}" name="Eff Equip Descr" dataDxfId="313" dataCellStyle="Normal 2"/>
    <tableColumn id="7" xr3:uid="{00000000-0010-0000-0200-000007000000}" name="Base Category" dataDxfId="312" dataCellStyle="Normal 2"/>
    <tableColumn id="8" xr3:uid="{00000000-0010-0000-0200-000008000000}" name="Base Measure Group" dataDxfId="311" dataCellStyle="Normal 2"/>
    <tableColumn id="9" xr3:uid="{00000000-0010-0000-0200-000009000000}" name="Base Equip Descr" dataDxfId="310" dataCellStyle="Normal 2"/>
    <tableColumn id="10" xr3:uid="{00000000-0010-0000-0200-00000A000000}" name="TRM Description" dataDxfId="309" dataCellStyle="Normal 2"/>
    <tableColumn id="11" xr3:uid="{00000000-0010-0000-0200-00000B000000}" name="TRM Reference No." dataDxfId="308" dataCellStyle="Normal 2"/>
    <tableColumn id="12" xr3:uid="{00000000-0010-0000-0200-00000C000000}" name="Measure Life" dataDxfId="307" dataCellStyle="Normal 2"/>
    <tableColumn id="13" xr3:uid="{00000000-0010-0000-0200-00000D000000}" name="Created On" dataDxfId="306" dataCellStyle="Normal 2"/>
    <tableColumn id="14" xr3:uid="{00000000-0010-0000-0200-00000E000000}" name="Source" dataDxfId="305" dataCellStyle="Normal 2"/>
    <tableColumn id="15" xr3:uid="{00000000-0010-0000-0200-00000F000000}" name="End Use Category" dataDxfId="304" dataCellStyle="Normal 2"/>
    <tableColumn id="16" xr3:uid="{00000000-0010-0000-0200-000010000000}" name="Inc Rate Unit" dataDxfId="303" dataCellStyle="Normal 2"/>
    <tableColumn id="17" xr3:uid="{00000000-0010-0000-0200-000011000000}" name="Savings per Unit kWh" dataDxfId="302" dataCellStyle="Normal 2"/>
    <tableColumn id="18" xr3:uid="{00000000-0010-0000-0200-000012000000}" name="Savings per Unit kW" dataDxfId="301" dataCellStyle="Normal 2"/>
    <tableColumn id="19" xr3:uid="{00000000-0010-0000-0200-000013000000}" name="Inc Rate kWh" dataDxfId="300" dataCellStyle="Normal 2"/>
    <tableColumn id="30" xr3:uid="{00000000-0010-0000-0200-00001E000000}" name="Inc Rate kW" dataDxfId="299" dataCellStyle="Normal 2"/>
    <tableColumn id="31" xr3:uid="{00000000-0010-0000-0200-00001F000000}" name="Energy Type" dataDxfId="298" dataCellStyle="Normal 2"/>
    <tableColumn id="36" xr3:uid="{00000000-0010-0000-0200-000024000000}" name="Program" dataDxfId="297" dataCellStyle="Normal 2"/>
    <tableColumn id="35" xr3:uid="{00000000-0010-0000-0200-000023000000}" name="Lighting vs Non Lighting" dataDxfId="296" dataCellStyle="Normal 2"/>
    <tableColumn id="34" xr3:uid="{00000000-0010-0000-0200-000022000000}" name="Status" dataDxfId="295" dataCellStyle="Normal 2"/>
    <tableColumn id="33" xr3:uid="{00000000-0010-0000-0200-000021000000}" name="SUTO" dataDxfId="294" dataCellStyle="Normal 2"/>
    <tableColumn id="32" xr3:uid="{00000000-0010-0000-0200-000020000000}" name="Cost Basis" dataDxfId="293" dataCellStyle="Normal 2"/>
    <tableColumn id="20" xr3:uid="{00000000-0010-0000-0200-000014000000}" name="Typical Unit Size" dataDxfId="292" dataCellStyle="Normal 2"/>
    <tableColumn id="21" xr3:uid="{00000000-0010-0000-0200-000015000000}" name="Unit of Measure" dataDxfId="291" dataCellStyle="Normal 2"/>
    <tableColumn id="22" xr3:uid="{00000000-0010-0000-0200-000016000000}" name="Base Desc 1" dataDxfId="290" dataCellStyle="Normal 2"/>
    <tableColumn id="23" xr3:uid="{00000000-0010-0000-0200-000017000000}" name="Base Desc 2" dataDxfId="289" dataCellStyle="Normal 2"/>
    <tableColumn id="24" xr3:uid="{00000000-0010-0000-0200-000018000000}" name="Base Watt" dataDxfId="288" dataCellStyle="Normal 2"/>
    <tableColumn id="28" xr3:uid="{00000000-0010-0000-0200-00001C000000}" name="Base Watt 2" dataDxfId="287" dataCellStyle="Normal 2"/>
    <tableColumn id="25" xr3:uid="{00000000-0010-0000-0200-000019000000}" name="Eff Desc 1" dataDxfId="286" dataCellStyle="Normal 2"/>
    <tableColumn id="26" xr3:uid="{00000000-0010-0000-0200-00001A000000}" name="Eff Desc 2" dataDxfId="285" dataCellStyle="Normal 2"/>
    <tableColumn id="27" xr3:uid="{00000000-0010-0000-0200-00001B000000}" name="Eff Watt" dataDxfId="284" dataCellStyle="Normal 2"/>
    <tableColumn id="29" xr3:uid="{00000000-0010-0000-0200-00001D000000}" name="Eff Watt 22" dataDxfId="283"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PMEMOTOR" displayName="PMEMOTOR" ref="A17:AJ21" totalsRowShown="0" headerRowDxfId="282" dataDxfId="281" headerRowCellStyle="Normal 2" dataCellStyle="Normal 2">
  <autoFilter ref="A17:AJ21" xr:uid="{00000000-0009-0000-0100-00000A000000}"/>
  <tableColumns count="36">
    <tableColumn id="1" xr3:uid="{00000000-0010-0000-0300-000001000000}" name="Measure #" dataDxfId="280" dataCellStyle="Normal 2"/>
    <tableColumn id="2" xr3:uid="{00000000-0010-0000-0300-000002000000}" name="Measure Name" dataDxfId="279" dataCellStyle="Normal 2"/>
    <tableColumn id="3" xr3:uid="{00000000-0010-0000-0300-000003000000}" name="Equipment Description" dataDxfId="278" dataCellStyle="Normal 2"/>
    <tableColumn id="4" xr3:uid="{00000000-0010-0000-0300-000004000000}" name="Eff Category" dataDxfId="277" dataCellStyle="Normal 2"/>
    <tableColumn id="5" xr3:uid="{00000000-0010-0000-0300-000005000000}" name="Eff Measure Group" dataDxfId="276" dataCellStyle="Normal 2"/>
    <tableColumn id="6" xr3:uid="{00000000-0010-0000-0300-000006000000}" name="Eff Equip Descr" dataDxfId="275" dataCellStyle="Normal 2"/>
    <tableColumn id="7" xr3:uid="{00000000-0010-0000-0300-000007000000}" name="Base Category" dataDxfId="274" dataCellStyle="Normal 2"/>
    <tableColumn id="8" xr3:uid="{00000000-0010-0000-0300-000008000000}" name="Base Measure Group" dataDxfId="273" dataCellStyle="Normal 2"/>
    <tableColumn id="9" xr3:uid="{00000000-0010-0000-0300-000009000000}" name="Base Equip Descr" dataDxfId="272" dataCellStyle="Normal 2"/>
    <tableColumn id="10" xr3:uid="{00000000-0010-0000-0300-00000A000000}" name="TRM Description" dataDxfId="271" dataCellStyle="Normal 2"/>
    <tableColumn id="11" xr3:uid="{00000000-0010-0000-0300-00000B000000}" name="TRM Reference No." dataDxfId="270" dataCellStyle="Normal 2"/>
    <tableColumn id="12" xr3:uid="{00000000-0010-0000-0300-00000C000000}" name="Measure Life" dataDxfId="269" dataCellStyle="Normal 2"/>
    <tableColumn id="13" xr3:uid="{00000000-0010-0000-0300-00000D000000}" name="Created On" dataDxfId="268" dataCellStyle="Normal 2"/>
    <tableColumn id="14" xr3:uid="{00000000-0010-0000-0300-00000E000000}" name="Source" dataDxfId="267" dataCellStyle="Normal 2"/>
    <tableColumn id="15" xr3:uid="{00000000-0010-0000-0300-00000F000000}" name="End Use Category" dataDxfId="266" dataCellStyle="Normal 2"/>
    <tableColumn id="16" xr3:uid="{00000000-0010-0000-0300-000010000000}" name="Inc Rate Unit" dataDxfId="265" dataCellStyle="Normal 2"/>
    <tableColumn id="17" xr3:uid="{00000000-0010-0000-0300-000011000000}" name="Savings per Unit kWh" dataDxfId="264" dataCellStyle="Normal 2"/>
    <tableColumn id="18" xr3:uid="{00000000-0010-0000-0300-000012000000}" name="Savings per Unit kW" dataDxfId="263" dataCellStyle="Normal 2"/>
    <tableColumn id="19" xr3:uid="{00000000-0010-0000-0300-000013000000}" name="Inc Rate kWh" dataDxfId="262" dataCellStyle="Normal 2"/>
    <tableColumn id="20" xr3:uid="{00000000-0010-0000-0300-000014000000}" name="Inc Rate kW" dataDxfId="261" dataCellStyle="Normal 2"/>
    <tableColumn id="32" xr3:uid="{00000000-0010-0000-0300-000020000000}" name="Energy Type" dataDxfId="260" dataCellStyle="Normal 2"/>
    <tableColumn id="36" xr3:uid="{00000000-0010-0000-0300-000024000000}" name="Program" dataDxfId="259" dataCellStyle="Normal 2"/>
    <tableColumn id="35" xr3:uid="{00000000-0010-0000-0300-000023000000}" name="Lighting vs Non Lighting" dataDxfId="258" dataCellStyle="Normal 2"/>
    <tableColumn id="34" xr3:uid="{00000000-0010-0000-0300-000022000000}" name="Status" dataDxfId="257" dataCellStyle="Normal 2"/>
    <tableColumn id="33" xr3:uid="{00000000-0010-0000-0300-000021000000}" name="SUTO" dataDxfId="256" dataCellStyle="Normal 2"/>
    <tableColumn id="30" xr3:uid="{00000000-0010-0000-0300-00001E000000}" name="Cost Basis" dataDxfId="255" dataCellStyle="Normal 2"/>
    <tableColumn id="31" xr3:uid="{00000000-0010-0000-0300-00001F000000}" name="Typical Unit Size" dataDxfId="254" dataCellStyle="Normal 2"/>
    <tableColumn id="21" xr3:uid="{00000000-0010-0000-0300-000015000000}" name="Unit of Measure" dataDxfId="253" dataCellStyle="Normal 2"/>
    <tableColumn id="22" xr3:uid="{00000000-0010-0000-0300-000016000000}" name="Base Desc 1" dataDxfId="252" dataCellStyle="Normal 2"/>
    <tableColumn id="23" xr3:uid="{00000000-0010-0000-0300-000017000000}" name="Base Desc 2" dataDxfId="251" dataCellStyle="Normal 2"/>
    <tableColumn id="24" xr3:uid="{00000000-0010-0000-0300-000018000000}" name="Base Watt" dataDxfId="250" dataCellStyle="Normal 2"/>
    <tableColumn id="28" xr3:uid="{00000000-0010-0000-0300-00001C000000}" name="Base Watt 2" dataDxfId="249" dataCellStyle="Normal 2"/>
    <tableColumn id="25" xr3:uid="{00000000-0010-0000-0300-000019000000}" name="Eff Desc 1" dataDxfId="248" dataCellStyle="Normal 2"/>
    <tableColumn id="26" xr3:uid="{00000000-0010-0000-0300-00001A000000}" name="Eff Desc 2" dataDxfId="247" dataCellStyle="Normal 2"/>
    <tableColumn id="27" xr3:uid="{00000000-0010-0000-0300-00001B000000}" name="Eff Watt" dataDxfId="246" dataCellStyle="Normal 2"/>
    <tableColumn id="29" xr3:uid="{00000000-0010-0000-0300-00001D000000}" name="Eff Watt 22" dataDxfId="245"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MEKITCHEN" displayName="PMEKITCHEN" ref="A42:AJ48" totalsRowShown="0" headerRowDxfId="244" dataDxfId="243" headerRowCellStyle="Normal 2" dataCellStyle="Normal 2">
  <autoFilter ref="A42:AJ48" xr:uid="{00000000-0009-0000-0100-00000B000000}"/>
  <tableColumns count="36">
    <tableColumn id="1" xr3:uid="{00000000-0010-0000-0400-000001000000}" name="Measure #" dataDxfId="242" dataCellStyle="Normal 2"/>
    <tableColumn id="2" xr3:uid="{00000000-0010-0000-0400-000002000000}" name="Measure Name" dataDxfId="241" dataCellStyle="Normal 2"/>
    <tableColumn id="3" xr3:uid="{00000000-0010-0000-0400-000003000000}" name="Equipment Description" dataDxfId="240" dataCellStyle="Normal 2"/>
    <tableColumn id="4" xr3:uid="{00000000-0010-0000-0400-000004000000}" name="Eff Category" dataDxfId="239" dataCellStyle="Normal 2"/>
    <tableColumn id="5" xr3:uid="{00000000-0010-0000-0400-000005000000}" name="Eff Measure Group" dataDxfId="238" dataCellStyle="Normal 2"/>
    <tableColumn id="6" xr3:uid="{00000000-0010-0000-0400-000006000000}" name="Eff Equip Descr" dataDxfId="237" dataCellStyle="Normal 2"/>
    <tableColumn id="7" xr3:uid="{00000000-0010-0000-0400-000007000000}" name="Base Category" dataDxfId="236" dataCellStyle="Normal 2"/>
    <tableColumn id="8" xr3:uid="{00000000-0010-0000-0400-000008000000}" name="Base Measure Group" dataDxfId="235" dataCellStyle="Normal 2"/>
    <tableColumn id="9" xr3:uid="{00000000-0010-0000-0400-000009000000}" name="Base Equip Descr" dataDxfId="234" dataCellStyle="Normal 2"/>
    <tableColumn id="10" xr3:uid="{00000000-0010-0000-0400-00000A000000}" name="TRM Description" dataDxfId="233" dataCellStyle="Normal 2"/>
    <tableColumn id="11" xr3:uid="{00000000-0010-0000-0400-00000B000000}" name="TRM Reference No." dataDxfId="232" dataCellStyle="Normal 2"/>
    <tableColumn id="12" xr3:uid="{00000000-0010-0000-0400-00000C000000}" name="Measure Life" dataDxfId="231" dataCellStyle="Normal 2"/>
    <tableColumn id="13" xr3:uid="{00000000-0010-0000-0400-00000D000000}" name="Created On" dataDxfId="230" dataCellStyle="Normal 2"/>
    <tableColumn id="14" xr3:uid="{00000000-0010-0000-0400-00000E000000}" name="Source" dataDxfId="229" dataCellStyle="Normal 2"/>
    <tableColumn id="15" xr3:uid="{00000000-0010-0000-0400-00000F000000}" name="End Use Category" dataDxfId="228" dataCellStyle="Normal 2"/>
    <tableColumn id="16" xr3:uid="{00000000-0010-0000-0400-000010000000}" name="Inc Rate Unit" dataDxfId="227" dataCellStyle="Normal 2"/>
    <tableColumn id="17" xr3:uid="{00000000-0010-0000-0400-000011000000}" name="Savings per Unit kWh" dataDxfId="226" dataCellStyle="Normal 2"/>
    <tableColumn id="18" xr3:uid="{00000000-0010-0000-0400-000012000000}" name="Savings per Unit kW" dataDxfId="225" dataCellStyle="Normal 2"/>
    <tableColumn id="19" xr3:uid="{00000000-0010-0000-0400-000013000000}" name="Inc Rate kWh" dataDxfId="224" dataCellStyle="Normal 2"/>
    <tableColumn id="20" xr3:uid="{00000000-0010-0000-0400-000014000000}" name="Inc Rate kW" dataDxfId="223" dataCellStyle="Normal 2"/>
    <tableColumn id="21" xr3:uid="{00000000-0010-0000-0400-000015000000}" name="Energy Type" dataDxfId="222" dataCellStyle="Normal 2"/>
    <tableColumn id="34" xr3:uid="{00000000-0010-0000-0400-000022000000}" name="Program" dataDxfId="221" dataCellStyle="Normal 2"/>
    <tableColumn id="33" xr3:uid="{00000000-0010-0000-0400-000021000000}" name="Lighting vs Non Lighting" dataDxfId="220" dataCellStyle="Normal 2"/>
    <tableColumn id="32" xr3:uid="{00000000-0010-0000-0400-000020000000}" name="Status" dataDxfId="219" dataCellStyle="Normal 2"/>
    <tableColumn id="35" xr3:uid="{00000000-0010-0000-0400-000023000000}" name="SUTO" dataDxfId="218" dataCellStyle="Normal 2"/>
    <tableColumn id="36" xr3:uid="{00000000-0010-0000-0400-000024000000}" name="Cost Basis" dataDxfId="217" dataCellStyle="Normal 2"/>
    <tableColumn id="31" xr3:uid="{00000000-0010-0000-0400-00001F000000}" name="Typical Unit Size" dataDxfId="216" dataCellStyle="Normal 2"/>
    <tableColumn id="30" xr3:uid="{00000000-0010-0000-0400-00001E000000}" name="Unit of Measure" dataDxfId="215" dataCellStyle="Normal 2"/>
    <tableColumn id="22" xr3:uid="{00000000-0010-0000-0400-000016000000}" name="Base Desc 1" dataDxfId="214" dataCellStyle="Normal 2"/>
    <tableColumn id="23" xr3:uid="{00000000-0010-0000-0400-000017000000}" name="Base Desc 2" dataDxfId="213" dataCellStyle="Normal 2"/>
    <tableColumn id="24" xr3:uid="{00000000-0010-0000-0400-000018000000}" name="Base Watt" dataDxfId="212" dataCellStyle="Normal 2"/>
    <tableColumn id="28" xr3:uid="{00000000-0010-0000-0400-00001C000000}" name="Base Watt 2" dataDxfId="211" dataCellStyle="Normal 2"/>
    <tableColumn id="25" xr3:uid="{00000000-0010-0000-0400-000019000000}" name="Eff Desc 1" dataDxfId="210" dataCellStyle="Normal 2"/>
    <tableColumn id="26" xr3:uid="{00000000-0010-0000-0400-00001A000000}" name="Eff Desc 2" dataDxfId="209" dataCellStyle="Normal 2"/>
    <tableColumn id="27" xr3:uid="{00000000-0010-0000-0400-00001B000000}" name="Eff Watt" dataDxfId="208" dataCellStyle="Normal 2"/>
    <tableColumn id="29" xr3:uid="{00000000-0010-0000-0400-00001D000000}" name="Eff Watt 22" dataDxfId="207" dataCellStyle="Normal 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A000000}" name="PMELIGHTLIN" displayName="PMELIGHTLIN" ref="AL1:AX35" totalsRowShown="0" headerRowDxfId="206" dataDxfId="204" headerRowBorderDxfId="205" tableBorderDxfId="203" totalsRowBorderDxfId="202" headerRowCellStyle="Normal 2" dataCellStyle="Normal 2">
  <autoFilter ref="AL1:AX35" xr:uid="{00000000-0009-0000-0100-00002D000000}"/>
  <sortState xmlns:xlrd2="http://schemas.microsoft.com/office/spreadsheetml/2017/richdata2" ref="AM2:AV9">
    <sortCondition ref="AV1:AV9"/>
  </sortState>
  <tableColumns count="13">
    <tableColumn id="12" xr3:uid="{00000000-0010-0000-0A00-00000C000000}" name="Measure Category" dataDxfId="201" dataCellStyle="Normal 2"/>
    <tableColumn id="1" xr3:uid="{00000000-0010-0000-0A00-000001000000}" name="Measure Validator" dataDxfId="200" dataCellStyle="Normal 2"/>
    <tableColumn id="3" xr3:uid="{00000000-0010-0000-0A00-000003000000}" name="Measure #" dataDxfId="199"/>
    <tableColumn id="2" xr3:uid="{00000000-0010-0000-0A00-000002000000}" name="Inc Rate Unit PA" dataDxfId="198" dataCellStyle="Normal 2"/>
    <tableColumn id="4" xr3:uid="{00000000-0010-0000-0A00-000004000000}" name="Inc Rate Unit FT" dataDxfId="197" dataCellStyle="Normal 2"/>
    <tableColumn id="9" xr3:uid="{00000000-0010-0000-0A00-000009000000}" name="Base Watt 1" dataDxfId="196" dataCellStyle="Normal 2"/>
    <tableColumn id="5" xr3:uid="{00000000-0010-0000-0A00-000005000000}" name="Base Watt 2" dataDxfId="195" dataCellStyle="Normal 2"/>
    <tableColumn id="11" xr3:uid="{00000000-0010-0000-0A00-00000B000000}" name="Eff Watt 1" dataDxfId="194" dataCellStyle="Normal 2"/>
    <tableColumn id="6" xr3:uid="{00000000-0010-0000-0A00-000006000000}" name="Eff Watt 2" dataDxfId="193" dataCellStyle="Normal 2"/>
    <tableColumn id="7" xr3:uid="{00000000-0010-0000-0A00-000007000000}" name="Op Hr 1" dataDxfId="192" dataCellStyle="Normal 2"/>
    <tableColumn id="8" xr3:uid="{00000000-0010-0000-0A00-000008000000}" name="Op Hr 2" dataDxfId="191" dataCellStyle="Normal 2"/>
    <tableColumn id="10" xr3:uid="{811FCBD4-C544-40CA-A625-FBCE1525EB26}" name="End Use Category" dataDxfId="190" dataCellStyle="Normal 2"/>
    <tableColumn id="13" xr3:uid="{FE2AFFEE-44DD-46B6-ACDE-6F186EDE3BAF}" name="Inc Rate SBDI" dataDxfId="189" dataCellStyle="Normal 2"/>
  </tableColumns>
  <tableStyleInfo name="TableStyleMedium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B000000}" name="PMELIGHTHID" displayName="PMELIGHTHID" ref="AZ1:BJ14" totalsRowShown="0" headerRowDxfId="188" dataDxfId="187" headerRowCellStyle="Normal 2" dataCellStyle="Normal 2">
  <autoFilter ref="AZ1:BJ14" xr:uid="{00000000-0009-0000-0100-000036000000}"/>
  <tableColumns count="11">
    <tableColumn id="1" xr3:uid="{00000000-0010-0000-0B00-000001000000}" name="Measure Category" dataDxfId="186" dataCellStyle="Normal 2"/>
    <tableColumn id="2" xr3:uid="{00000000-0010-0000-0B00-000002000000}" name="Measure Validator" dataDxfId="185" dataCellStyle="Normal 2"/>
    <tableColumn id="3" xr3:uid="{00000000-0010-0000-0B00-000003000000}" name="Measure #" dataDxfId="184" dataCellStyle="Normal 2"/>
    <tableColumn id="4" xr3:uid="{00000000-0010-0000-0B00-000004000000}" name="Inc Rate Unit" dataDxfId="183" dataCellStyle="Normal 2"/>
    <tableColumn id="5" xr3:uid="{00000000-0010-0000-0B00-000005000000}" name="Base Watt 1" dataDxfId="182" dataCellStyle="Normal 2"/>
    <tableColumn id="6" xr3:uid="{00000000-0010-0000-0B00-000006000000}" name="Base Watt 2" dataDxfId="181" dataCellStyle="Normal 2"/>
    <tableColumn id="8" xr3:uid="{00000000-0010-0000-0B00-000008000000}" name="Eff Watt 1" dataDxfId="180" dataCellStyle="Normal 2"/>
    <tableColumn id="9" xr3:uid="{00000000-0010-0000-0B00-000009000000}" name="Op Hr 1" dataDxfId="179" dataCellStyle="Normal 2"/>
    <tableColumn id="10" xr3:uid="{00000000-0010-0000-0B00-00000A000000}" name="Op Hr 2" dataDxfId="178" dataCellStyle="Normal 2"/>
    <tableColumn id="11" xr3:uid="{00000000-0010-0000-0B00-00000B000000}" name="End Use Category" dataDxfId="177" dataCellStyle="Normal 2"/>
    <tableColumn id="7" xr3:uid="{42D638C0-2A11-4FFA-83E3-5A9D3E767A6C}" name="Inc Rate SBDI" dataDxfId="176"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C000000}" name="BASEHID" displayName="BASEHID" ref="AZ16:BC26" totalsRowShown="0" headerRowDxfId="175" dataDxfId="174" headerRowCellStyle="Normal 2" dataCellStyle="Normal 2">
  <autoFilter ref="AZ16:BC26" xr:uid="{00000000-0009-0000-0100-000038000000}"/>
  <tableColumns count="4">
    <tableColumn id="1" xr3:uid="{00000000-0010-0000-0C00-000001000000}" name="Metal Halide" dataDxfId="173" dataCellStyle="Normal 2"/>
    <tableColumn id="4" xr3:uid="{00000000-0010-0000-0C00-000004000000}" name="Pulse Start Metal Halide" dataDxfId="172" dataCellStyle="Normal 2"/>
    <tableColumn id="2" xr3:uid="{00000000-0010-0000-0C00-000002000000}" name="Mercury Vapor" dataDxfId="171" dataCellStyle="Normal 2"/>
    <tableColumn id="3" xr3:uid="{00000000-0010-0000-0C00-000003000000}" name="HP Sodium" dataDxfId="170"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6000000}" name="PROGRAMTYPE" displayName="PROGRAMTYPE" ref="AC1:AC3" totalsRowShown="0" headerRowDxfId="498" dataDxfId="497" headerRowCellStyle="Normal 2">
  <autoFilter ref="AC1:AC3" xr:uid="{00000000-0009-0000-0100-000003000000}"/>
  <sortState xmlns:xlrd2="http://schemas.microsoft.com/office/spreadsheetml/2017/richdata2" ref="AH2:AH5">
    <sortCondition ref="AH1:AH5"/>
  </sortState>
  <tableColumns count="1">
    <tableColumn id="1" xr3:uid="{00000000-0010-0000-1600-000001000000}" name="Program" dataDxfId="496"/>
  </tableColumns>
  <tableStyleInfo name="TableStyleMedium4"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D000000}" name="BASEHIDBALLAST" displayName="BASEHIDBALLAST" ref="AZ29:BK43" totalsRowShown="0" headerRowCellStyle="Normal 2" dataCellStyle="Normal 2">
  <autoFilter ref="AZ29:BK43" xr:uid="{00000000-0009-0000-0100-00003E000000}"/>
  <tableColumns count="12">
    <tableColumn id="1" xr3:uid="{00000000-0010-0000-0D00-000001000000}" name="Metal Halide Nominal" dataCellStyle="Normal 2"/>
    <tableColumn id="2" xr3:uid="{00000000-0010-0000-0D00-000002000000}" name="Metal Halide Ballast" dataCellStyle="Normal 2"/>
    <tableColumn id="9" xr3:uid="{00000000-0010-0000-0D00-000009000000}" name="MH Source" dataCellStyle="Normal 2"/>
    <tableColumn id="3" xr3:uid="{00000000-0010-0000-0D00-000003000000}" name="Pulse Start Metal Halide Nominal" dataCellStyle="Normal 2"/>
    <tableColumn id="4" xr3:uid="{00000000-0010-0000-0D00-000004000000}" name="Pulse Start Metal Halide Ballast" dataCellStyle="Normal 2"/>
    <tableColumn id="10" xr3:uid="{00000000-0010-0000-0D00-00000A000000}" name="PS MH Source" dataCellStyle="Normal 2"/>
    <tableColumn id="5" xr3:uid="{00000000-0010-0000-0D00-000005000000}" name="Mercury Vapor Nominal" dataCellStyle="Normal 2"/>
    <tableColumn id="6" xr3:uid="{00000000-0010-0000-0D00-000006000000}" name="Mercury Vapor Ballast" dataCellStyle="Normal 2"/>
    <tableColumn id="11" xr3:uid="{00000000-0010-0000-0D00-00000B000000}" name="MV Source" dataCellStyle="Normal 2"/>
    <tableColumn id="7" xr3:uid="{00000000-0010-0000-0D00-000007000000}" name="High Pressure Sodium Nominal" dataCellStyle="Normal 2"/>
    <tableColumn id="8" xr3:uid="{00000000-0010-0000-0D00-000008000000}" name="High Pressure Sodium Ballast" dataCellStyle="Normal 2"/>
    <tableColumn id="12" xr3:uid="{00000000-0010-0000-0D00-00000C000000}" name="HPS Source"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PMELIGHTINCAN" displayName="PMELIGHTINCAN" ref="BM1:BX15" totalsRowShown="0" headerRowDxfId="169" dataDxfId="168" headerRowCellStyle="Normal 2" dataCellStyle="Normal 2">
  <autoFilter ref="BM1:BX15" xr:uid="{00000000-0009-0000-0100-000034000000}"/>
  <tableColumns count="12">
    <tableColumn id="1" xr3:uid="{00000000-0010-0000-0E00-000001000000}" name="Measure Category" dataDxfId="167" dataCellStyle="Normal 2"/>
    <tableColumn id="2" xr3:uid="{00000000-0010-0000-0E00-000002000000}" name="Measure Validator" dataDxfId="166" dataCellStyle="Normal 2"/>
    <tableColumn id="3" xr3:uid="{00000000-0010-0000-0E00-000003000000}" name="Measure #" dataDxfId="165" dataCellStyle="Normal 2"/>
    <tableColumn id="4" xr3:uid="{00000000-0010-0000-0E00-000004000000}" name="Inc Rate Unit" dataDxfId="164" dataCellStyle="Normal 2"/>
    <tableColumn id="5" xr3:uid="{00000000-0010-0000-0E00-000005000000}" name="Base Watt 1" dataDxfId="163" dataCellStyle="Normal 2"/>
    <tableColumn id="6" xr3:uid="{00000000-0010-0000-0E00-000006000000}" name="Base Watt 2" dataDxfId="162" dataCellStyle="Normal 2"/>
    <tableColumn id="7" xr3:uid="{00000000-0010-0000-0E00-000007000000}" name="Ballast Factor" dataDxfId="161" dataCellStyle="Normal 2"/>
    <tableColumn id="8" xr3:uid="{00000000-0010-0000-0E00-000008000000}" name="Eff Watt 1" dataDxfId="160" dataCellStyle="Normal 2"/>
    <tableColumn id="9" xr3:uid="{00000000-0010-0000-0E00-000009000000}" name="Op Hr 1" dataDxfId="159" dataCellStyle="Normal 2"/>
    <tableColumn id="10" xr3:uid="{00000000-0010-0000-0E00-00000A000000}" name="Op Hr 2" dataDxfId="158" dataCellStyle="Normal 2"/>
    <tableColumn id="11" xr3:uid="{00000000-0010-0000-0E00-00000B000000}" name="End Use Category" dataDxfId="157" dataCellStyle="Normal 2"/>
    <tableColumn id="12" xr3:uid="{A6904CB7-B36D-403B-8A3C-0E9B82F9FD12}" name="Inc Rate SBDI" dataDxfId="156" dataCellStyle="Normal 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F000000}" name="BASEINCAND" displayName="BASEINCAND" ref="BO16:BO20" totalsRowShown="0" headerRowCellStyle="Normal 2" dataCellStyle="Normal 2">
  <autoFilter ref="BO16:BO20" xr:uid="{00000000-0009-0000-0100-000035000000}"/>
  <tableColumns count="1">
    <tableColumn id="3" xr3:uid="{00000000-0010-0000-0F00-000003000000}" name="Exit Sign" dataCellStyle="Normal 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0000000}" name="LINFIXT" displayName="LINFIXT" ref="AL37:AN74" totalsRowShown="0" headerRowCellStyle="Normal 2">
  <autoFilter ref="AL37:AN74" xr:uid="{00000000-0009-0000-0100-000037000000}"/>
  <tableColumns count="3">
    <tableColumn id="1" xr3:uid="{00000000-0010-0000-1000-000001000000}" name="T12" dataDxfId="155"/>
    <tableColumn id="2" xr3:uid="{00000000-0010-0000-1000-000002000000}" name="T8"/>
    <tableColumn id="3" xr3:uid="{00000000-0010-0000-1000-000003000000}" name="T5" dataCellStyle="Normal 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03DCCC0-CDB7-44E9-B7BE-221F70CC4BDB}" name="HVACTABL" displayName="HVACTABL" ref="A52:B67" totalsRowShown="0">
  <autoFilter ref="A52:B67" xr:uid="{004B4C15-9A27-4AAB-B3F5-631DA3336D58}"/>
  <tableColumns count="2">
    <tableColumn id="1" xr3:uid="{6FD51D8C-2A1A-489E-A683-50894F0124AC}" name="Mechanical Equipment Upgrade" dataDxfId="154" dataCellStyle="Normal 2"/>
    <tableColumn id="2" xr3:uid="{A08740E9-5A0E-462C-B01B-F267E1D1FF57}" name="Learning Thermostat" dataDxfId="153" dataCellStyle="Normal 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D050BA2-6B84-493B-B510-37132A85F84D}" name="PMEHVAC" displayName="PMEHVAC" ref="D52:N73" totalsRowShown="0" headerRowDxfId="152" dataDxfId="151" headerRowCellStyle="Normal 2" dataCellStyle="Normal 2">
  <autoFilter ref="D52:N73" xr:uid="{C2610CE7-4520-41AE-B082-703E1A901831}"/>
  <tableColumns count="11">
    <tableColumn id="1" xr3:uid="{5E79C35B-F19F-44D6-BFF6-3FCDE9F6E5C4}" name="Measure Type" dataDxfId="150" dataCellStyle="Normal 2"/>
    <tableColumn id="2" xr3:uid="{46818558-3BE5-4778-981D-C2B644A2C3F3}" name="Measure #" dataDxfId="149" dataCellStyle="Normal 2"/>
    <tableColumn id="3" xr3:uid="{99B33E2D-D758-4313-8AF1-349BC6550DA7}" name="Savings per ton per EER kWh" dataDxfId="148" dataCellStyle="Normal 2"/>
    <tableColumn id="4" xr3:uid="{5D622FA6-8645-4C95-A215-7A5CF6408E92}" name="Inc Rate Unit" dataDxfId="147" dataCellStyle="Normal 2"/>
    <tableColumn id="5" xr3:uid="{421D2A1E-D686-4A0B-AD4F-5D9DEA142D49}" name="Base EER1" dataDxfId="146" dataCellStyle="Normal 2"/>
    <tableColumn id="6" xr3:uid="{A440BD4C-8D14-42D1-918F-B415024FCAF7}" name="Base EER 2" dataDxfId="145" dataCellStyle="Normal 2"/>
    <tableColumn id="7" xr3:uid="{AE2272B8-34B3-4F1D-9BCA-F9484AC1BA14}" name="Eff Ton 1" dataDxfId="144" dataCellStyle="Normal 2"/>
    <tableColumn id="8" xr3:uid="{3DBB8DF8-FC3C-4BFF-9E01-5682E1F6A7B2}" name="Eff Ton 2" dataDxfId="143" dataCellStyle="Normal 2"/>
    <tableColumn id="9" xr3:uid="{4B93043B-A870-43C0-BC01-E3D08C714BE7}" name="End Use Category" dataDxfId="142" dataCellStyle="Normal 2"/>
    <tableColumn id="10" xr3:uid="{A7181090-651E-42F5-9155-80AB359937E4}" name="Base Desc 1" dataDxfId="141" dataCellStyle="Normal 2"/>
    <tableColumn id="11" xr3:uid="{FF1CA760-768C-4FE6-A94C-1228A76FAC0B}" name="Unit" dataDxfId="140" dataCellStyle="Normal 2"/>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4907C1-B68E-4918-8140-31A3E86671D2}" name="PMEVFD" displayName="PMEVFD" ref="A23:AJ29" totalsRowShown="0" headerRowDxfId="139" headerRowBorderDxfId="138" tableBorderDxfId="137" headerRowCellStyle="Normal 2">
  <autoFilter ref="A23:AJ29" xr:uid="{16AFDD09-DC06-4D74-A564-9D42592C1F63}"/>
  <tableColumns count="36">
    <tableColumn id="1" xr3:uid="{CC319602-8F26-45EE-8644-2FA5F6FCE749}" name="Measure #"/>
    <tableColumn id="2" xr3:uid="{09E06F73-4444-48EB-B392-CA2447AAB255}" name="Measure Name"/>
    <tableColumn id="3" xr3:uid="{5D18C65B-B360-4008-873A-6A01125AEE87}" name="Equipment Description"/>
    <tableColumn id="4" xr3:uid="{810AEA87-45AB-4C47-AFD7-74470CF327C9}" name="Eff Category"/>
    <tableColumn id="5" xr3:uid="{AEB92199-9137-4A09-8C04-02B6F74123CB}" name="Eff Measure Group" dataDxfId="136" dataCellStyle="Normal 2"/>
    <tableColumn id="6" xr3:uid="{D162BF60-5193-40F9-BF2B-EFCE24DA9928}" name="Eff Equip Descr"/>
    <tableColumn id="7" xr3:uid="{361A3E74-5685-4BAE-A11A-5F8919CE0261}" name="Base Category"/>
    <tableColumn id="8" xr3:uid="{709BF0A3-362F-4F0E-A892-B8532F9BC4FC}" name="Base Measure Group"/>
    <tableColumn id="9" xr3:uid="{65810585-5E6E-4758-84F5-AA291C0D4776}" name="Base Equip Descr"/>
    <tableColumn id="10" xr3:uid="{A5B38672-F79B-4D67-B2AB-824375C270B8}" name="TRM Description"/>
    <tableColumn id="11" xr3:uid="{E86DC09C-92E6-4057-A3A9-EB98451D6573}" name="TRM Reference No."/>
    <tableColumn id="12" xr3:uid="{4EBEC813-DEAD-4B02-8AA6-C754BCC6B83F}" name="Measure Life"/>
    <tableColumn id="13" xr3:uid="{15D3847D-5E3F-4F20-914C-1C7C2C91A510}" name="Created On"/>
    <tableColumn id="14" xr3:uid="{4A5AD9D2-5483-4F08-8AA2-7B79DA495B8D}" name="Source"/>
    <tableColumn id="15" xr3:uid="{A9F0C1D7-2D21-47E7-B88C-378334DEEAA5}" name="End Use Category"/>
    <tableColumn id="16" xr3:uid="{32B03AA8-0D33-4E94-90EC-482F5FAF5A61}" name="Inc Rate Unit"/>
    <tableColumn id="17" xr3:uid="{D0A09B6B-69DE-458B-8413-A9A4BDB96174}" name="Savings per Unit kWh"/>
    <tableColumn id="18" xr3:uid="{85F46D75-89CF-4F0B-8D8F-38F114E9C4F1}" name="Savings per Unit kW"/>
    <tableColumn id="19" xr3:uid="{EF4E63D2-08FD-4317-9C8F-E0EE3AD6E3A0}" name="Inc Rate kWh"/>
    <tableColumn id="20" xr3:uid="{AC004A2E-D176-47F7-8A13-9921B9256F5E}" name="Inc Rate kW"/>
    <tableColumn id="21" xr3:uid="{A6E18B1C-DA27-4CF3-AAF6-6282BB31B47A}" name="Energy Type"/>
    <tableColumn id="22" xr3:uid="{C6740E87-1FDD-492F-86A9-3A11F8FF13EE}" name="Program"/>
    <tableColumn id="23" xr3:uid="{634F8013-82C5-4D40-B063-0E4D30E83043}" name="Lighting vs Non Lighting"/>
    <tableColumn id="24" xr3:uid="{28A5F77E-D038-4DE4-AF1A-44FAB910EE05}" name="Status"/>
    <tableColumn id="25" xr3:uid="{836E9376-BE30-4AB4-8889-ECC28342E6D9}" name="SUTO"/>
    <tableColumn id="26" xr3:uid="{230888D4-9D9F-4F94-A65D-2431F6F1D19A}" name="Cost Basis"/>
    <tableColumn id="27" xr3:uid="{D29935DC-A64B-4A8C-A8B3-189AC33D72E6}" name="Typical Unit Size"/>
    <tableColumn id="28" xr3:uid="{BDF1AB54-E8BE-4525-AEB0-F46CA4B04D9A}" name="Unit of Measure"/>
    <tableColumn id="29" xr3:uid="{4FE86FA2-7CED-4345-A2E3-DC123E41CEA9}" name="Base Desc 1" dataDxfId="135"/>
    <tableColumn id="30" xr3:uid="{E340327C-6160-4F2A-8633-F908E590BDEC}" name="Base Desc 2" dataDxfId="134"/>
    <tableColumn id="31" xr3:uid="{7625FF16-DBEC-4E5E-AA6C-B2A776780074}" name="Base Watt" dataDxfId="133"/>
    <tableColumn id="32" xr3:uid="{40890B23-C2E8-40EA-87FC-C7251913C7B6}" name="Base Watt 2" dataDxfId="132"/>
    <tableColumn id="33" xr3:uid="{0BF5E6FE-5611-434A-808E-596FE2752870}" name="Eff Desc 1" dataDxfId="131"/>
    <tableColumn id="34" xr3:uid="{AA0046A5-8EC5-46E8-BC2B-5AA736D6201E}" name="Eff Desc 2"/>
    <tableColumn id="35" xr3:uid="{BDE1A4B5-7C5E-4BDE-9201-51E269669E32}" name="Eff HP 1"/>
    <tableColumn id="36" xr3:uid="{7675C223-81FF-47DD-BB1A-3F2AB70D191B}" name="Eff HP 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DF768B-C325-4F58-85AF-6F216D8CBD48}" name="LEDREDEFF" displayName="LEDREDEFF" ref="AP37:AP40" totalsRowShown="0" headerRowDxfId="130" headerRowCellStyle="Normal 2">
  <autoFilter ref="AP37:AP40" xr:uid="{1761977B-AAD5-407C-A924-851EFA580337}"/>
  <tableColumns count="1">
    <tableColumn id="1" xr3:uid="{B68DE5BC-76D0-47F8-81B3-C99898898145}" name="Redesign LED"/>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DEAFBA-B28E-418C-864B-EB4D0C13F3F7}" name="LINLEDREPL" displayName="LINLEDREPL" ref="AR37:AR45" totalsRowShown="0" headerRowDxfId="129" dataDxfId="128" headerRowCellStyle="Normal 2" dataCellStyle="Normal 2">
  <autoFilter ref="AR37:AR45" xr:uid="{8AA1219E-82EE-49E1-94A7-E1A79450A004}"/>
  <tableColumns count="1">
    <tableColumn id="1" xr3:uid="{AB175309-17A2-4D1B-B7A1-8A2049E1A6A7}" name="Efficient Linear LEDs" dataDxfId="127" dataCellStyle="Normal 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6121299-5DB0-45B0-B257-97C6FC1DCDCB}" name="REDESIGNBASE" displayName="REDESIGNBASE" ref="BZ1:CJ123" totalsRowShown="0">
  <autoFilter ref="BZ1:CJ123" xr:uid="{721BC8ED-4C3E-4EF5-AF24-518D998405B3}"/>
  <tableColumns count="11">
    <tableColumn id="1" xr3:uid="{8D19D9A1-60FD-4182-A6E6-8BDC335D7F7B}" name="Measure Number"/>
    <tableColumn id="2" xr3:uid="{E09243F3-9EBA-4055-B1B1-F09B70B7EEC0}" name="Base Desc 1"/>
    <tableColumn id="3" xr3:uid="{986576FB-2AD2-4A3A-AA30-CDD4D1C9DCC8}" name="Base Desc 2"/>
    <tableColumn id="4" xr3:uid="{155C2EC3-7C77-43ED-95DB-D81DAB4B9B9E}" name="Base Watt 1"/>
    <tableColumn id="5" xr3:uid="{EE6AF865-BFFC-4430-9E92-C9B526004022}" name="Base Watt 2"/>
    <tableColumn id="6" xr3:uid="{05E6DDA7-9659-40C4-B695-AF07388ACF5F}" name="Measure Group"/>
    <tableColumn id="7" xr3:uid="{0BDD698A-FABB-48F1-A56F-04C6B3ABFBF5}" name="Measure Subgroup 1"/>
    <tableColumn id="8" xr3:uid="{99BA29EB-1459-4D9C-B0D8-307933E5D419}" name="Measure Subgroup 2"/>
    <tableColumn id="9" xr3:uid="{1D49BAF9-752C-41E4-A7B5-97B5C413C234}" name="Unit"/>
    <tableColumn id="10" xr3:uid="{FAACEE0D-A576-4BA6-91EE-6D4897FA5130}" name="Order"/>
    <tableColumn id="11" xr3:uid="{E24304DB-41B1-4B93-845E-285B00BABB79}" name="Source (Standard Wattage Tabl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CMEHVAC" displayName="CMEHVAC" ref="AE1:AS41" totalsRowShown="0" headerRowDxfId="495" dataDxfId="494">
  <autoFilter ref="AE1:AS41" xr:uid="{00000000-0009-0000-0100-000020000000}"/>
  <sortState xmlns:xlrd2="http://schemas.microsoft.com/office/spreadsheetml/2017/richdata2" ref="AE2:AS33">
    <sortCondition ref="AO1:AO33"/>
  </sortState>
  <tableColumns count="15">
    <tableColumn id="1" xr3:uid="{00000000-0010-0000-1900-000001000000}" name="Measure Number" dataDxfId="493"/>
    <tableColumn id="14" xr3:uid="{00000000-0010-0000-1900-00000E000000}" name="Project Category" dataDxfId="492"/>
    <tableColumn id="2" xr3:uid="{00000000-0010-0000-1900-000002000000}" name="Proj Desc 1" dataDxfId="491"/>
    <tableColumn id="3" xr3:uid="{00000000-0010-0000-1900-000003000000}" name="Proj Desc 2" dataDxfId="490"/>
    <tableColumn id="4" xr3:uid="{00000000-0010-0000-1900-000004000000}" name="Inc Rate" dataDxfId="489"/>
    <tableColumn id="5" xr3:uid="{00000000-0010-0000-1900-000005000000}" name="EUL" dataDxfId="488"/>
    <tableColumn id="6" xr3:uid="{00000000-0010-0000-1900-000006000000}" name="Measure Group" dataDxfId="487"/>
    <tableColumn id="7" xr3:uid="{00000000-0010-0000-1900-000007000000}" name="Measure Subgroup 1" dataDxfId="486"/>
    <tableColumn id="8" xr3:uid="{00000000-0010-0000-1900-000008000000}" name="Measure Subgroup 2" dataDxfId="485"/>
    <tableColumn id="9" xr3:uid="{00000000-0010-0000-1900-000009000000}" name="Units" dataDxfId="484"/>
    <tableColumn id="10" xr3:uid="{00000000-0010-0000-1900-00000A000000}" name="Order" dataDxfId="483"/>
    <tableColumn id="11" xr3:uid="{00000000-0010-0000-1900-00000B000000}" name="End Use Category" dataDxfId="482"/>
    <tableColumn id="12" xr3:uid="{00000000-0010-0000-1900-00000C000000}" name="Factor" dataDxfId="481"/>
    <tableColumn id="15" xr3:uid="{00000000-0010-0000-1900-00000F000000}" name="Cost Basis" dataDxfId="480"/>
    <tableColumn id="13" xr3:uid="{00000000-0010-0000-1900-00000D000000}" name="Application Tab" dataDxfId="479"/>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888F00-F8F1-4215-B867-2796BE0E5252}" name="PMECOMPAIR" displayName="PMECOMPAIR" ref="A35:AJ38" totalsRowShown="0" headerRowCellStyle="Normal 2" dataCellStyle="Normal 2">
  <autoFilter ref="A35:AJ38" xr:uid="{D2BA0804-B06D-4F44-A3EB-835B3606FC99}"/>
  <tableColumns count="36">
    <tableColumn id="1" xr3:uid="{E162968C-FFA2-4FB8-9920-43E9B0A57EF0}" name="Measure #" dataDxfId="126" dataCellStyle="Normal 2"/>
    <tableColumn id="2" xr3:uid="{5627943D-42A8-48C8-8B4E-514393A5CA9C}" name="Measure Name" dataDxfId="125" dataCellStyle="Normal 2"/>
    <tableColumn id="3" xr3:uid="{1A46C992-A83D-4230-8F74-A9DD8CEB2467}" name="Equipment Description" dataDxfId="124" dataCellStyle="Normal 2"/>
    <tableColumn id="4" xr3:uid="{9F8F7E5E-E34F-48A6-B287-CA287E3CA1C7}" name="Eff Category" dataDxfId="123" dataCellStyle="Normal 2"/>
    <tableColumn id="5" xr3:uid="{2F193A94-EF68-4843-BF30-20D25929417F}" name="Eff Measure Group" dataDxfId="122" dataCellStyle="Normal 2"/>
    <tableColumn id="6" xr3:uid="{9D4D97AC-2EF0-43ED-8772-250958C9A015}" name="Eff Equip Descr" dataDxfId="121" dataCellStyle="Normal 2"/>
    <tableColumn id="7" xr3:uid="{1D99DA1E-AB2D-44E0-BA8C-AB1B288A5D6D}" name="Base Category" dataDxfId="120" dataCellStyle="Normal 2"/>
    <tableColumn id="8" xr3:uid="{B2246D9D-8423-443F-AC93-D4F2FC9C355D}" name="Base Measure Group" dataDxfId="119" dataCellStyle="Normal 2"/>
    <tableColumn id="9" xr3:uid="{8E7D918A-BA86-419E-A2C1-E7F2D59BABDD}" name="Base Equip Descr" dataDxfId="118" dataCellStyle="Normal 2"/>
    <tableColumn id="10" xr3:uid="{0806BD0A-36DE-48E6-B7C0-1BD21D545DE1}" name="TRM Description" dataDxfId="117" dataCellStyle="Normal 2"/>
    <tableColumn id="11" xr3:uid="{133D13A9-61DA-447A-A888-0D315461BE52}" name="TRM Reference No." dataDxfId="116" dataCellStyle="Normal 2"/>
    <tableColumn id="12" xr3:uid="{A7980D2B-0D94-4DB3-8231-E7249C46B86C}" name="Measure Life" dataDxfId="115" dataCellStyle="Normal 2"/>
    <tableColumn id="13" xr3:uid="{31CC3AD9-9926-4B3E-BDBF-1C7139450DB4}" name="Created On" dataDxfId="114" dataCellStyle="Normal 2"/>
    <tableColumn id="14" xr3:uid="{53F481AD-3B34-40B8-82B8-E0A99018237D}" name="Source" dataDxfId="113" dataCellStyle="Normal 2"/>
    <tableColumn id="15" xr3:uid="{35A068CA-FA49-438B-AAF6-615C1D7F7C71}" name="End Use Category" dataDxfId="112" dataCellStyle="Normal 2"/>
    <tableColumn id="16" xr3:uid="{9F1096B4-3126-4F70-BCF0-DD0DA157314F}" name="Inc Rate Unit" dataDxfId="111" dataCellStyle="Normal 2"/>
    <tableColumn id="17" xr3:uid="{946F82D6-919A-4D0B-87D6-BFEA1925FA11}" name="Savings per Unit kWh" dataDxfId="110" dataCellStyle="Normal 2"/>
    <tableColumn id="18" xr3:uid="{E81F90C4-ED5B-4061-AE80-C8E572A50D60}" name="Savings per Unit kW" dataDxfId="109" dataCellStyle="Normal 2"/>
    <tableColumn id="19" xr3:uid="{AFDF19DB-2298-4F34-A7E5-D916A039D307}" name="Inc Rate kWh" dataDxfId="108" dataCellStyle="Normal 2"/>
    <tableColumn id="20" xr3:uid="{88469EF1-B94C-48AB-945C-EB707C1FB9FF}" name="Inc Rate kW" dataDxfId="107" dataCellStyle="Normal 2"/>
    <tableColumn id="21" xr3:uid="{F5742C4B-3ABF-4CA2-A017-70B2D15BDC7C}" name="Energy Type" dataDxfId="106" dataCellStyle="Normal 2"/>
    <tableColumn id="22" xr3:uid="{E3C6DE74-B34E-4101-8B76-81B7F271D524}" name="Program" dataDxfId="105" dataCellStyle="Normal 2"/>
    <tableColumn id="23" xr3:uid="{B78E86E9-E31B-4C44-A36A-5DEC7F4199ED}" name="Lighting vs Non Lighting" dataDxfId="104" dataCellStyle="Normal 2"/>
    <tableColumn id="24" xr3:uid="{D94EC364-BD71-4DE3-8C30-50A84E56972A}" name="Status" dataDxfId="103" dataCellStyle="Normal 2"/>
    <tableColumn id="25" xr3:uid="{C2FF0E32-0287-4726-B703-7AEE0DC53B22}" name="SUTO" dataDxfId="102" dataCellStyle="Normal 2"/>
    <tableColumn id="26" xr3:uid="{37ED0D8D-552A-4532-B74C-FA3D43BF0C46}" name="Cost Basis" dataDxfId="101" dataCellStyle="Normal 2"/>
    <tableColumn id="27" xr3:uid="{3E9260AE-EF74-412F-A305-7348D05A68BA}" name="Typical Unit Size" dataDxfId="100" dataCellStyle="Normal 2"/>
    <tableColumn id="28" xr3:uid="{A91E9F2A-A92F-49E2-890C-F61D8822756E}" name="Unit of Measure" dataDxfId="99" dataCellStyle="Normal 2"/>
    <tableColumn id="29" xr3:uid="{6E65713B-99E6-4F4D-B051-D4E504DF574E}" name="Base Desc 1" dataCellStyle="Normal 2"/>
    <tableColumn id="30" xr3:uid="{897C9AF9-5B7B-4115-89C0-6D8CC0A99A64}" name="Base Desc 2" dataCellStyle="Normal 2"/>
    <tableColumn id="31" xr3:uid="{C0B6DDB0-C90B-4792-A55A-EBF62DBE300C}" name="Base Watt" dataCellStyle="Normal 2"/>
    <tableColumn id="32" xr3:uid="{BBF60266-769E-40F2-8258-5686156EDF18}" name="Base Watt 2" dataCellStyle="Normal 2"/>
    <tableColumn id="33" xr3:uid="{F7B84C45-1BA8-4FF4-A3D6-8767F3DFB04D}" name="Eff Desc 1" dataCellStyle="Normal 2"/>
    <tableColumn id="34" xr3:uid="{C83F9A31-D3D4-4F68-BD13-FF982F7A2EF4}" name="Eff Desc 2" dataCellStyle="Normal 2"/>
    <tableColumn id="35" xr3:uid="{4B43550F-C4FE-4B04-B436-B217B21186D5}" name="Eff HP 1" dataCellStyle="Normal 2"/>
    <tableColumn id="36" xr3:uid="{C683D25F-2B55-409D-831E-EE640D7FFD1D}" name="Eff HP 2" dataCellStyle="Normal 2"/>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A1E574-9E8A-4355-88BC-42D7B16A3BE2}" name="PMEOCCSEN" displayName="PMEOCCSEN" ref="AZ46:BH48" totalsRowShown="0" headerRowDxfId="98" dataDxfId="97" headerRowCellStyle="Normal 2" dataCellStyle="Normal 2">
  <autoFilter ref="AZ46:BH48" xr:uid="{B017FEA5-9310-44E8-B466-91DA25422DD8}"/>
  <tableColumns count="9">
    <tableColumn id="1" xr3:uid="{9DC8F88B-8E47-49FF-8F95-777B39E3F3FF}" name="Measure Number" dataDxfId="96" dataCellStyle="Normal 2"/>
    <tableColumn id="2" xr3:uid="{DDE653DC-132F-4DEF-B3CA-0DA10A0274BD}" name="Measure Type" dataDxfId="95" dataCellStyle="Normal 2"/>
    <tableColumn id="3" xr3:uid="{F386C5F6-113A-4C92-8943-82B1D3EC4E8F}" name="Base Condition" dataDxfId="94" dataCellStyle="Normal 2"/>
    <tableColumn id="4" xr3:uid="{DC9E9D25-9DFD-474A-ABF2-4381D023E7FA}" name="Inc Rate Unit" dataDxfId="93" dataCellStyle="Normal 2"/>
    <tableColumn id="5" xr3:uid="{CB2725A4-19B4-4021-A0AB-D140452C4000}" name="ESF" dataDxfId="92" dataCellStyle="Normal 2"/>
    <tableColumn id="6" xr3:uid="{8B819CE8-A80B-4BF3-AA67-109C624986A6}" name="EUL" dataDxfId="91" dataCellStyle="Normal 2"/>
    <tableColumn id="7" xr3:uid="{76CBEF3B-5710-462B-917A-4A2C682F615E}" name="End Use" dataDxfId="90" dataCellStyle="Normal 2"/>
    <tableColumn id="8" xr3:uid="{52C04BA4-CD5C-4AC4-B8BE-964BD989163A}" name="Watt 1" dataDxfId="89" dataCellStyle="Normal 2"/>
    <tableColumn id="9" xr3:uid="{045740F7-D3BE-48F2-8645-F53D440BAF2D}" name="Inc Rate SBDI" dataDxfId="88" dataCellStyle="Normal 2"/>
  </tableColumns>
  <tableStyleInfo name="TableStyleLight14"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71A1ECD-B1DC-4F1E-86C8-E50F95D40F38}" name="PMEFANS" displayName="PMEFANS" ref="D76:N79" totalsRowShown="0" headerRowDxfId="87" dataDxfId="86" dataCellStyle="Normal 2">
  <autoFilter ref="D76:N79" xr:uid="{BCE652F4-A9E4-4480-98F5-6EC97A3A3683}"/>
  <tableColumns count="11">
    <tableColumn id="1" xr3:uid="{7831BC6D-2D5A-4AFB-84C9-0F6BC70DB6C1}" name="Measure Type" dataDxfId="85" dataCellStyle="Normal 2"/>
    <tableColumn id="2" xr3:uid="{EE26F2FD-5D0E-4430-B089-D5C7E034855E}" name="Measure #" dataDxfId="84" dataCellStyle="Normal 2"/>
    <tableColumn id="3" xr3:uid="{EA4972A2-8931-4D2F-B08A-229FAE33C662}" name="Savings per Unit kWh" dataDxfId="83" dataCellStyle="Normal 2"/>
    <tableColumn id="4" xr3:uid="{1FA55F0C-1115-40B2-AF44-C302C413EEAF}" name="Inc Rate Unit" dataDxfId="82" dataCellStyle="Normal 2"/>
    <tableColumn id="5" xr3:uid="{FB5E956A-4BF7-4A82-BBD9-8EEE4126AF1E}" name="Column1" dataDxfId="81" dataCellStyle="Normal 2"/>
    <tableColumn id="6" xr3:uid="{DCF66FBF-4B69-43DB-8B1B-CBF8A9E4A29E}" name="Column2" dataDxfId="80" dataCellStyle="Normal 2"/>
    <tableColumn id="7" xr3:uid="{4DBE4D65-22E9-421B-A6A4-0136D4F7C9B3}" name="Column3" dataDxfId="79" dataCellStyle="Normal 2"/>
    <tableColumn id="8" xr3:uid="{8FFDC5A6-3B97-4255-92C3-D5663078433C}" name="Column4" dataDxfId="78" dataCellStyle="Normal 2"/>
    <tableColumn id="9" xr3:uid="{09B074EE-65AF-43DE-81EF-59EA20382CF2}" name="End Use" dataDxfId="77" dataCellStyle="Normal 2"/>
    <tableColumn id="10" xr3:uid="{4763D9F9-02C4-436A-B967-64B85AABE802}" name="Base Desc 1" dataDxfId="76" dataCellStyle="Normal 2"/>
    <tableColumn id="11" xr3:uid="{285484CE-817F-43E4-B33D-BFEAEDA81E12}" name="Unit" dataDxfId="75" dataCellStyle="Normal 2"/>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A49CDF5-7EF8-4597-87F0-2831F5DDFD5E}" name="QUIKLIGHT" displayName="QUIKLIGHT" ref="AZ52:BG87" totalsRowShown="0" headerRowDxfId="74" headerRowBorderDxfId="73" tableBorderDxfId="72" headerRowCellStyle="Normal 2" dataCellStyle="Normal 2">
  <autoFilter ref="AZ52:BG87" xr:uid="{829E5DAF-7DC6-47B9-8A77-2B6E2D13AE86}"/>
  <tableColumns count="8">
    <tableColumn id="1" xr3:uid="{D082C941-AEF0-460B-AAEC-25C169C5C979}" name="Linear T12" dataCellStyle="Normal 2"/>
    <tableColumn id="2" xr3:uid="{295408DA-EACE-466A-A106-3A0DCB46FEA9}" name="Linear T8" dataCellStyle="Normal 2"/>
    <tableColumn id="3" xr3:uid="{D1569FCD-A60F-45AD-8152-C1A5D4EC122E}" name="Linear T5" dataCellStyle="Normal 2"/>
    <tableColumn id="4" xr3:uid="{7715FA17-AE0A-4F03-A48A-0BC4BFA17597}" name="Metal Halide" dataCellStyle="Normal 2"/>
    <tableColumn id="5" xr3:uid="{8956ABB7-8F41-42EE-B177-267383EB3182}" name="Pulse Start Metal Halide" dataCellStyle="Normal 2"/>
    <tableColumn id="6" xr3:uid="{C3F942DA-487E-46A8-98BF-EA734326FCB1}" name="Mercury Vapor" dataCellStyle="Normal 2"/>
    <tableColumn id="7" xr3:uid="{F218F947-AC80-4548-A3EB-B8A0C132926B}" name="HP Sodium" dataCellStyle="Normal 2"/>
    <tableColumn id="8" xr3:uid="{ED89CC26-B784-472B-A7A5-2AB14CB9FEDF}" name="Exit Sign" dataCellStyle="Normal 2"/>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4EC17CF-4BA9-4AFC-B77C-1BD2556E3D0A}" name="QUIKLED" displayName="QUIKLED" ref="AZ90:BG98" totalsRowShown="0" headerRowCellStyle="Normal 2" dataCellStyle="Normal 2">
  <autoFilter ref="AZ90:BG98" xr:uid="{01E53543-1E2E-4895-8944-D402DCEE1787}"/>
  <tableColumns count="8">
    <tableColumn id="1" xr3:uid="{9DF20CA8-0ACB-49A5-BEB0-1B314A18756C}" name="Linear T12" dataCellStyle="Normal 2"/>
    <tableColumn id="2" xr3:uid="{6DC6391E-05F2-4927-8349-91FCC1B3FD01}" name="Linear T8" dataCellStyle="Normal 2"/>
    <tableColumn id="3" xr3:uid="{BAEE7E62-D4BA-4D2D-BC6B-75B226AADAC1}" name="Linear T5" dataCellStyle="Normal 2"/>
    <tableColumn id="4" xr3:uid="{50FB63F9-1281-4A6E-A53B-4B576D7F8BD4}" name="Metal Halide" dataCellStyle="Normal 2"/>
    <tableColumn id="5" xr3:uid="{87D8AEF2-7699-4639-B6E9-1FD02793807F}" name="Pulse Start Metal Halide" dataCellStyle="Normal 2"/>
    <tableColumn id="6" xr3:uid="{134D06F8-D715-4083-B8C3-E6705FA8A03F}" name="Mercury Vapor" dataCellStyle="Normal 2"/>
    <tableColumn id="7" xr3:uid="{A17D3727-80FC-47D6-9418-B321F823E5CD}" name="HP Sodium" dataCellStyle="Normal 2"/>
    <tableColumn id="8" xr3:uid="{E3E33822-1E42-4D72-8772-58E472401CD1}" name="Exit Sign" dataCellStyle="Normal 2"/>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4000000}" name="BUILDINGTYPE" displayName="BUILDINGTYPE" ref="A4:B20" totalsRowShown="0">
  <autoFilter ref="A4:B20" xr:uid="{00000000-0009-0000-0100-000016000000}"/>
  <tableColumns count="2">
    <tableColumn id="1" xr3:uid="{00000000-0010-0000-2400-000001000000}" name="Building Type"/>
    <tableColumn id="2" xr3:uid="{00000000-0010-0000-2400-000002000000}" name="HIF"/>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5000000}" name="STATES" displayName="STATES" ref="E4:F68" totalsRowShown="0">
  <autoFilter ref="E4:F68" xr:uid="{00000000-0009-0000-0100-000018000000}"/>
  <tableColumns count="2">
    <tableColumn id="1" xr3:uid="{00000000-0010-0000-2500-000001000000}" name="States"/>
    <tableColumn id="2" xr3:uid="{00000000-0010-0000-2500-000002000000}" name="Abbrev"/>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6000000}" name="SPACEHEAT" displayName="SPACEHEAT" ref="J4:K10" totalsRowShown="0">
  <autoFilter ref="J4:K10" xr:uid="{00000000-0009-0000-0100-000019000000}"/>
  <tableColumns count="2">
    <tableColumn id="1" xr3:uid="{00000000-0010-0000-2600-000001000000}" name="Space Conditioning"/>
    <tableColumn id="2" xr3:uid="{00000000-0010-0000-2600-000002000000}" name="HIF"/>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7000000}" name="WATERHEAT" displayName="WATERHEAT" ref="A23:A30" totalsRowShown="0">
  <autoFilter ref="A23:A30" xr:uid="{00000000-0009-0000-0100-00001A000000}"/>
  <tableColumns count="1">
    <tableColumn id="1" xr3:uid="{00000000-0010-0000-2700-000001000000}" name="Water Heating"/>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8000000}" name="PROGRAMS" displayName="PROGRAMS" ref="A32:A35" totalsRowShown="0">
  <autoFilter ref="A32:A35" xr:uid="{00000000-0009-0000-0100-00001B000000}"/>
  <tableColumns count="1">
    <tableColumn id="1" xr3:uid="{00000000-0010-0000-2800-000001000000}" name="Program"/>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CMELIGHT" displayName="CMELIGHT" ref="AE43:AS46" totalsRowShown="0" headerRowDxfId="478" dataDxfId="477">
  <autoFilter ref="AE43:AS46" xr:uid="{00000000-0009-0000-0100-000021000000}"/>
  <sortState xmlns:xlrd2="http://schemas.microsoft.com/office/spreadsheetml/2017/richdata2" ref="AE36:AS40">
    <sortCondition ref="AO35:AO40"/>
  </sortState>
  <tableColumns count="15">
    <tableColumn id="1" xr3:uid="{00000000-0010-0000-1A00-000001000000}" name="Measure Number" dataDxfId="476"/>
    <tableColumn id="14" xr3:uid="{00000000-0010-0000-1A00-00000E000000}" name="Project Category" dataDxfId="475"/>
    <tableColumn id="2" xr3:uid="{00000000-0010-0000-1A00-000002000000}" name="Proj Desc 1" dataDxfId="474"/>
    <tableColumn id="3" xr3:uid="{00000000-0010-0000-1A00-000003000000}" name="Proj Desc 2" dataDxfId="473"/>
    <tableColumn id="4" xr3:uid="{00000000-0010-0000-1A00-000004000000}" name="Inc Rate" dataDxfId="472"/>
    <tableColumn id="5" xr3:uid="{00000000-0010-0000-1A00-000005000000}" name="EUL" dataDxfId="471"/>
    <tableColumn id="6" xr3:uid="{00000000-0010-0000-1A00-000006000000}" name="Measure Group" dataDxfId="470"/>
    <tableColumn id="7" xr3:uid="{00000000-0010-0000-1A00-000007000000}" name="Measure Subgroup 1" dataDxfId="469"/>
    <tableColumn id="8" xr3:uid="{00000000-0010-0000-1A00-000008000000}" name="Measure Subgroup 2" dataDxfId="468"/>
    <tableColumn id="9" xr3:uid="{00000000-0010-0000-1A00-000009000000}" name="Units" dataDxfId="467"/>
    <tableColumn id="10" xr3:uid="{00000000-0010-0000-1A00-00000A000000}" name="Order" dataDxfId="466"/>
    <tableColumn id="11" xr3:uid="{00000000-0010-0000-1A00-00000B000000}" name="End Use Category" dataDxfId="465"/>
    <tableColumn id="12" xr3:uid="{00000000-0010-0000-1A00-00000C000000}" name="Factor" dataDxfId="464"/>
    <tableColumn id="15" xr3:uid="{00000000-0010-0000-1A00-00000F000000}" name="Cost Basis" dataDxfId="463"/>
    <tableColumn id="13" xr3:uid="{00000000-0010-0000-1A00-00000D000000}" name="Application Tab" dataDxfId="462"/>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9000000}" name="INSTALLER" displayName="INSTALLER" ref="A38:A40" totalsRowShown="0">
  <autoFilter ref="A38:A40" xr:uid="{00000000-0009-0000-0100-00001C000000}"/>
  <tableColumns count="1">
    <tableColumn id="1" xr3:uid="{00000000-0010-0000-2900-000001000000}" name="Installer"/>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A000000}" name="PAYMENT" displayName="PAYMENT" ref="O4:Z9" totalsRowShown="0">
  <autoFilter ref="O4:Z9" xr:uid="{00000000-0009-0000-0100-00001D000000}"/>
  <sortState xmlns:xlrd2="http://schemas.microsoft.com/office/spreadsheetml/2017/richdata2" ref="O5:Z9">
    <sortCondition ref="O4:O9"/>
  </sortState>
  <tableColumns count="12">
    <tableColumn id="1" xr3:uid="{00000000-0010-0000-2A00-000001000000}" name="Payment to"/>
    <tableColumn id="2" xr3:uid="{00000000-0010-0000-2A00-000002000000}" name="Company"/>
    <tableColumn id="3" xr3:uid="{00000000-0010-0000-2A00-000003000000}" name="First"/>
    <tableColumn id="4" xr3:uid="{00000000-0010-0000-2A00-000004000000}" name="Last"/>
    <tableColumn id="5" xr3:uid="{00000000-0010-0000-2A00-000005000000}" name="Phone"/>
    <tableColumn id="6" xr3:uid="{00000000-0010-0000-2A00-000006000000}" name="Email"/>
    <tableColumn id="7" xr3:uid="{00000000-0010-0000-2A00-000007000000}" name="Address"/>
    <tableColumn id="8" xr3:uid="{00000000-0010-0000-2A00-000008000000}" name="City"/>
    <tableColumn id="9" xr3:uid="{00000000-0010-0000-2A00-000009000000}" name="State"/>
    <tableColumn id="10" xr3:uid="{00000000-0010-0000-2A00-00000A000000}" name="Zip"/>
    <tableColumn id="11" xr3:uid="{00000000-0010-0000-2A00-00000B000000}" name="Terms"/>
    <tableColumn id="12" xr3:uid="{00000000-0010-0000-2A00-00000C000000}" name="Payment Preferenc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B000000}" name="TAXENTITY" displayName="TAXENTITY" ref="J47:K52" totalsRowShown="0">
  <autoFilter ref="J47:K52" xr:uid="{00000000-0009-0000-0100-00001E000000}"/>
  <tableColumns count="2">
    <tableColumn id="1" xr3:uid="{00000000-0010-0000-2B00-000001000000}" name="Tax Entity"/>
    <tableColumn id="2" xr3:uid="{00000000-0010-0000-2B00-000002000000}" name="System Tex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ENDUSEALL" displayName="ENDUSEALL" ref="J12:M25" totalsRowShown="0">
  <autoFilter ref="J12:M25" xr:uid="{00000000-0009-0000-0100-000017000000}"/>
  <sortState xmlns:xlrd2="http://schemas.microsoft.com/office/spreadsheetml/2017/richdata2" ref="J13:M25">
    <sortCondition ref="J12:J25"/>
  </sortState>
  <tableColumns count="4">
    <tableColumn id="1" xr3:uid="{00000000-0010-0000-2C00-000001000000}" name="End Use to Coincident Peak Demand Factors"/>
    <tableColumn id="2" xr3:uid="{00000000-0010-0000-2C00-000002000000}" name="Factor" dataDxfId="71"/>
    <tableColumn id="3" xr3:uid="{00000000-0010-0000-2C00-000003000000}" name="Extended Factors"/>
    <tableColumn id="4" xr3:uid="{00000000-0010-0000-2C00-000004000000}" name="Inc Rat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D000000}" name="DIVERSITYTYPE" displayName="DIVERSITYTYPE" ref="A54:A62" totalsRowShown="0" headerRowDxfId="70">
  <autoFilter ref="A54:A62" xr:uid="{00000000-0009-0000-0100-00001F000000}"/>
  <tableColumns count="1">
    <tableColumn id="1" xr3:uid="{00000000-0010-0000-2D00-000001000000}" name="Diversity Business Typ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DIVERSITYISSUED" displayName="DIVERSITYISSUED" ref="A65:A69" totalsRowShown="0">
  <autoFilter ref="A65:A69" xr:uid="{00000000-0009-0000-0100-000028000000}"/>
  <tableColumns count="1">
    <tableColumn id="1" xr3:uid="{00000000-0010-0000-2E00-000001000000}" name="Diversity Issued Org"/>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PROJSTAT" displayName="PROJSTAT" ref="A71:A82" totalsRowShown="0">
  <autoFilter ref="A71:A82" xr:uid="{00000000-0009-0000-0100-000029000000}"/>
  <tableColumns count="1">
    <tableColumn id="1" xr3:uid="{00000000-0010-0000-2F00-000001000000}" name="Project Status"/>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0000000}" name="SPILLOVER" displayName="SPILLOVER" ref="J28:K37" totalsRowShown="0">
  <autoFilter ref="J28:K37" xr:uid="{00000000-0009-0000-0100-00002A000000}"/>
  <tableColumns count="2">
    <tableColumn id="1" xr3:uid="{00000000-0010-0000-3000-000001000000}" name="Spillover Text"/>
    <tableColumn id="2" xr3:uid="{00000000-0010-0000-3000-000002000000}" name="Spillover Reason"/>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RATECLASS" displayName="RATECLASS" ref="J39:K44" totalsRowShown="0">
  <autoFilter ref="J39:K44" xr:uid="{00000000-0009-0000-0100-00002B000000}"/>
  <tableColumns count="2">
    <tableColumn id="1" xr3:uid="{00000000-0010-0000-3100-000001000000}" name="Rate Schedules"/>
    <tableColumn id="2" xr3:uid="{00000000-0010-0000-3100-000002000000}" name="Rat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2000000}" name="IMPLSPEC" displayName="IMPLSPEC" ref="A43:A48" totalsRowShown="0">
  <autoFilter ref="A43:A48" xr:uid="{00000000-0009-0000-0100-00002C000000}"/>
  <tableColumns count="1">
    <tableColumn id="1" xr3:uid="{00000000-0010-0000-3200-000001000000}" name="Impl. Specialis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CMELIGHTCON" displayName="CMELIGHTCON" ref="AE50:AS60" totalsRowShown="0" headerRowDxfId="461" dataDxfId="460">
  <autoFilter ref="AE50:AS60" xr:uid="{00000000-0009-0000-0100-000022000000}"/>
  <sortState xmlns:xlrd2="http://schemas.microsoft.com/office/spreadsheetml/2017/richdata2" ref="AE43:AS52">
    <sortCondition ref="AO42:AO52"/>
  </sortState>
  <tableColumns count="15">
    <tableColumn id="1" xr3:uid="{00000000-0010-0000-1B00-000001000000}" name="Measure Number" dataDxfId="459"/>
    <tableColumn id="14" xr3:uid="{00000000-0010-0000-1B00-00000E000000}" name="Project Category" dataDxfId="458"/>
    <tableColumn id="2" xr3:uid="{00000000-0010-0000-1B00-000002000000}" name="Proj Desc 1" dataDxfId="457"/>
    <tableColumn id="3" xr3:uid="{00000000-0010-0000-1B00-000003000000}" name="Proj Desc 2" dataDxfId="456"/>
    <tableColumn id="4" xr3:uid="{00000000-0010-0000-1B00-000004000000}" name="Inc Rate" dataDxfId="455"/>
    <tableColumn id="5" xr3:uid="{00000000-0010-0000-1B00-000005000000}" name="EUL" dataDxfId="454"/>
    <tableColumn id="6" xr3:uid="{00000000-0010-0000-1B00-000006000000}" name="Measure Group" dataDxfId="453"/>
    <tableColumn id="7" xr3:uid="{00000000-0010-0000-1B00-000007000000}" name="Measure Subgroup 1" dataDxfId="452"/>
    <tableColumn id="8" xr3:uid="{00000000-0010-0000-1B00-000008000000}" name="Measure Subgroup 2" dataDxfId="451"/>
    <tableColumn id="9" xr3:uid="{00000000-0010-0000-1B00-000009000000}" name="Units" dataDxfId="450"/>
    <tableColumn id="10" xr3:uid="{00000000-0010-0000-1B00-00000A000000}" name="Order" dataDxfId="449"/>
    <tableColumn id="11" xr3:uid="{00000000-0010-0000-1B00-00000B000000}" name="End Use Category" dataDxfId="448"/>
    <tableColumn id="12" xr3:uid="{00000000-0010-0000-1B00-00000C000000}" name="Factor" dataDxfId="447"/>
    <tableColumn id="15" xr3:uid="{00000000-0010-0000-1B00-00000F000000}" name="Cost Basis" dataDxfId="446"/>
    <tableColumn id="13" xr3:uid="{00000000-0010-0000-1B00-00000D000000}" name="Application Tab" dataDxfId="445"/>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BUSDEVEL" displayName="BUSDEVEL" ref="A84:C90" totalsRowShown="0">
  <autoFilter ref="A84:C90" xr:uid="{00000000-0009-0000-0100-00002E000000}"/>
  <tableColumns count="3">
    <tableColumn id="1" xr3:uid="{00000000-0010-0000-3300-000001000000}" name="Business Development Lead"/>
    <tableColumn id="2" xr3:uid="{00000000-0010-0000-3300-000002000000}" name="Phone"/>
    <tableColumn id="3" xr3:uid="{00000000-0010-0000-3300-000003000000}" name="Email"/>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4000000}" name="ENGNRS" displayName="ENGNRS" ref="A95:A106" totalsRowShown="0">
  <autoFilter ref="A95:A106" xr:uid="{00000000-0009-0000-0100-00002F000000}"/>
  <tableColumns count="1">
    <tableColumn id="1" xr3:uid="{00000000-0010-0000-3400-000001000000}" name="Engineers"/>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5000000}" name="LGHTSCHED" displayName="LGHTSCHED" ref="A114:A117" totalsRowShown="0">
  <autoFilter ref="A114:A117" xr:uid="{00000000-0009-0000-0100-000031000000}"/>
  <tableColumns count="1">
    <tableColumn id="1" xr3:uid="{00000000-0010-0000-3500-000001000000}" name="Lighting Schedule"/>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6000000}" name="HVACUSES" displayName="HVACUSES" ref="J55:J57" totalsRowShown="0">
  <autoFilter ref="J55:J57" xr:uid="{00000000-0009-0000-0100-000030000000}"/>
  <tableColumns count="1">
    <tableColumn id="1" xr3:uid="{00000000-0010-0000-3600-000001000000}" name="HVAC Uses"/>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7000000}" name="LINEARUPG" displayName="LINEARUPG" ref="E74:F76" totalsRowShown="0">
  <autoFilter ref="E74:F76" xr:uid="{00000000-0009-0000-0100-000032000000}"/>
  <tableColumns count="2">
    <tableColumn id="1" xr3:uid="{00000000-0010-0000-3700-000001000000}" name="Upgrade Only"/>
    <tableColumn id="2" xr3:uid="{00000000-0010-0000-3700-000002000000}" name="Fixture Delamp"/>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8000000}" name="PMELINUPG" displayName="PMELINUPG" ref="E79:F85" totalsRowShown="0" headerRowDxfId="69" dataDxfId="68">
  <autoFilter ref="E79:F85" xr:uid="{00000000-0009-0000-0100-000033000000}"/>
  <tableColumns count="2">
    <tableColumn id="1" xr3:uid="{00000000-0010-0000-3800-000001000000}" name="Replace Lamps" dataDxfId="67"/>
    <tableColumn id="2" xr3:uid="{00000000-0010-0000-3800-000002000000}" name="Replace Fixture" dataDxfId="66"/>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496AE4A-25F1-4417-9B58-5EF549A8BFD1}" name="TAPAY" displayName="TAPAY" ref="O12:Q16" totalsRowShown="0">
  <autoFilter ref="O12:Q16" xr:uid="{77E62497-A44D-415B-8295-98A99C2CB3C9}"/>
  <tableColumns count="3">
    <tableColumn id="1" xr3:uid="{D8CEA847-BE42-49C8-A7E2-0D630DB6FD83}" name="Yes - Approved Trade Ally"/>
    <tableColumn id="2" xr3:uid="{8F49A71C-3BF9-4E74-9DCE-759738B1946C}" name="Yes - Independent Vendor"/>
    <tableColumn id="3" xr3:uid="{2A6629A6-5DD7-4BC0-8027-348EB649D674}" name="No"/>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128D6D2-7703-4146-81C0-BF1F66C597FD}" name="MARKETING" displayName="MARKETING" ref="F87:F103" totalsRowShown="0">
  <autoFilter ref="F87:F103" xr:uid="{970C1B4F-0011-4BCA-B1CD-ED9D08DEDA47}"/>
  <tableColumns count="1">
    <tableColumn id="1" xr3:uid="{A17BBCC5-4630-4013-B6FC-49CAB14A6289}" name="Marketing"/>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5FEAECF-07F6-4F3F-AEB3-55E2D529A167}" name="INSTALLSTATUS" displayName="INSTALLSTATUS" ref="AT25:AT27" totalsRowShown="0">
  <autoFilter ref="AT25:AT27" xr:uid="{E0B8F70D-FB43-431B-A2A1-DADE7642FD54}"/>
  <tableColumns count="1">
    <tableColumn id="1" xr3:uid="{4EB34323-491F-48D3-97AB-FF7AB0B359EC}" name="Column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CMECOOK" displayName="CMECOOK" ref="AE62:AS78" totalsRowShown="0" headerRowDxfId="444" dataDxfId="443">
  <autoFilter ref="AE62:AS78" xr:uid="{00000000-0009-0000-0100-000023000000}"/>
  <sortState xmlns:xlrd2="http://schemas.microsoft.com/office/spreadsheetml/2017/richdata2" ref="AE55:AS70">
    <sortCondition ref="AO54:AO70"/>
  </sortState>
  <tableColumns count="15">
    <tableColumn id="1" xr3:uid="{00000000-0010-0000-1C00-000001000000}" name="Measure Number" dataDxfId="442"/>
    <tableColumn id="14" xr3:uid="{00000000-0010-0000-1C00-00000E000000}" name="Project Category" dataDxfId="441"/>
    <tableColumn id="2" xr3:uid="{00000000-0010-0000-1C00-000002000000}" name="Proj Desc 1" dataDxfId="440"/>
    <tableColumn id="3" xr3:uid="{00000000-0010-0000-1C00-000003000000}" name="Proj Desc 2" dataDxfId="439"/>
    <tableColumn id="4" xr3:uid="{00000000-0010-0000-1C00-000004000000}" name="Inc Rate" dataDxfId="438"/>
    <tableColumn id="5" xr3:uid="{00000000-0010-0000-1C00-000005000000}" name="EUL" dataDxfId="437"/>
    <tableColumn id="6" xr3:uid="{00000000-0010-0000-1C00-000006000000}" name="Measure Group" dataDxfId="436"/>
    <tableColumn id="7" xr3:uid="{00000000-0010-0000-1C00-000007000000}" name="Measure Subgroup 1" dataDxfId="435"/>
    <tableColumn id="8" xr3:uid="{00000000-0010-0000-1C00-000008000000}" name="Measure Subgroup 2" dataDxfId="434"/>
    <tableColumn id="9" xr3:uid="{00000000-0010-0000-1C00-000009000000}" name="Units" dataDxfId="433"/>
    <tableColumn id="10" xr3:uid="{00000000-0010-0000-1C00-00000A000000}" name="Order" dataDxfId="432"/>
    <tableColumn id="11" xr3:uid="{00000000-0010-0000-1C00-00000B000000}" name="End Use Category" dataDxfId="431"/>
    <tableColumn id="12" xr3:uid="{00000000-0010-0000-1C00-00000C000000}" name="Factor" dataDxfId="430"/>
    <tableColumn id="15" xr3:uid="{00000000-0010-0000-1C00-00000F000000}" name="Cost Basis" dataDxfId="429"/>
    <tableColumn id="13" xr3:uid="{00000000-0010-0000-1C00-00000D000000}" name="Application Tab" dataDxfId="42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CMECOMPAIR" displayName="CMECOMPAIR" ref="AE80:AS96" totalsRowShown="0" headerRowDxfId="427" dataDxfId="426">
  <autoFilter ref="AE80:AS96" xr:uid="{00000000-0009-0000-0100-000024000000}"/>
  <sortState xmlns:xlrd2="http://schemas.microsoft.com/office/spreadsheetml/2017/richdata2" ref="AE73:AS88">
    <sortCondition ref="AO72:AO88"/>
  </sortState>
  <tableColumns count="15">
    <tableColumn id="1" xr3:uid="{00000000-0010-0000-1D00-000001000000}" name="Measure Number" dataDxfId="425"/>
    <tableColumn id="14" xr3:uid="{00000000-0010-0000-1D00-00000E000000}" name="Project Category" dataDxfId="424"/>
    <tableColumn id="2" xr3:uid="{00000000-0010-0000-1D00-000002000000}" name="Proj Desc 1" dataDxfId="423"/>
    <tableColumn id="3" xr3:uid="{00000000-0010-0000-1D00-000003000000}" name="Proj Desc 2" dataDxfId="422"/>
    <tableColumn id="4" xr3:uid="{00000000-0010-0000-1D00-000004000000}" name="Inc Rate" dataDxfId="421"/>
    <tableColumn id="5" xr3:uid="{00000000-0010-0000-1D00-000005000000}" name="EUL" dataDxfId="420"/>
    <tableColumn id="6" xr3:uid="{00000000-0010-0000-1D00-000006000000}" name="Measure Group" dataDxfId="419"/>
    <tableColumn id="7" xr3:uid="{00000000-0010-0000-1D00-000007000000}" name="Measure Subgroup 1" dataDxfId="418"/>
    <tableColumn id="8" xr3:uid="{00000000-0010-0000-1D00-000008000000}" name="Measure Subgroup 2" dataDxfId="417"/>
    <tableColumn id="9" xr3:uid="{00000000-0010-0000-1D00-000009000000}" name="Units" dataDxfId="416"/>
    <tableColumn id="10" xr3:uid="{00000000-0010-0000-1D00-00000A000000}" name="Order" dataDxfId="415"/>
    <tableColumn id="11" xr3:uid="{00000000-0010-0000-1D00-00000B000000}" name="End Use Category" dataDxfId="414"/>
    <tableColumn id="12" xr3:uid="{00000000-0010-0000-1D00-00000C000000}" name="Factor" dataDxfId="413"/>
    <tableColumn id="15" xr3:uid="{00000000-0010-0000-1D00-00000F000000}" name="Cost Basis" dataDxfId="412"/>
    <tableColumn id="13" xr3:uid="{00000000-0010-0000-1D00-00000D000000}" name="Application Tab" dataDxfId="41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CMEMOTOR" displayName="CMEMOTOR" ref="AE98:AS118" totalsRowShown="0" headerRowDxfId="410" dataDxfId="409">
  <autoFilter ref="AE98:AS118" xr:uid="{00000000-0009-0000-0100-000025000000}"/>
  <sortState xmlns:xlrd2="http://schemas.microsoft.com/office/spreadsheetml/2017/richdata2" ref="AE91:AS108">
    <sortCondition ref="AO90:AO108"/>
  </sortState>
  <tableColumns count="15">
    <tableColumn id="1" xr3:uid="{00000000-0010-0000-1E00-000001000000}" name="Measure Number" dataDxfId="408"/>
    <tableColumn id="14" xr3:uid="{00000000-0010-0000-1E00-00000E000000}" name="Project Category" dataDxfId="407"/>
    <tableColumn id="2" xr3:uid="{00000000-0010-0000-1E00-000002000000}" name="Proj Desc 1" dataDxfId="406"/>
    <tableColumn id="3" xr3:uid="{00000000-0010-0000-1E00-000003000000}" name="Proj Desc 2" dataDxfId="405"/>
    <tableColumn id="4" xr3:uid="{00000000-0010-0000-1E00-000004000000}" name="Inc Rate" dataDxfId="404"/>
    <tableColumn id="5" xr3:uid="{00000000-0010-0000-1E00-000005000000}" name="EUL" dataDxfId="403"/>
    <tableColumn id="6" xr3:uid="{00000000-0010-0000-1E00-000006000000}" name="Measure Group" dataDxfId="402"/>
    <tableColumn id="7" xr3:uid="{00000000-0010-0000-1E00-000007000000}" name="Measure Subgroup 1" dataDxfId="401"/>
    <tableColumn id="8" xr3:uid="{00000000-0010-0000-1E00-000008000000}" name="Measure Subgroup 2" dataDxfId="400"/>
    <tableColumn id="9" xr3:uid="{00000000-0010-0000-1E00-000009000000}" name="Units" dataDxfId="399"/>
    <tableColumn id="10" xr3:uid="{00000000-0010-0000-1E00-00000A000000}" name="Order" dataDxfId="398"/>
    <tableColumn id="11" xr3:uid="{00000000-0010-0000-1E00-00000B000000}" name="End Use Category" dataDxfId="397"/>
    <tableColumn id="12" xr3:uid="{00000000-0010-0000-1E00-00000C000000}" name="Factor" dataDxfId="396"/>
    <tableColumn id="15" xr3:uid="{00000000-0010-0000-1E00-00000F000000}" name="Cost Basis" dataDxfId="395"/>
    <tableColumn id="13" xr3:uid="{00000000-0010-0000-1E00-00000D000000}" name="Application Tab" dataDxfId="39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CMEREFRI" displayName="CMEREFRI" ref="AE120:AS134" totalsRowShown="0" headerRowDxfId="393" dataDxfId="392">
  <autoFilter ref="AE120:AS134" xr:uid="{00000000-0009-0000-0100-000026000000}"/>
  <sortState xmlns:xlrd2="http://schemas.microsoft.com/office/spreadsheetml/2017/richdata2" ref="AE111:AS124">
    <sortCondition ref="AO110:AO124"/>
  </sortState>
  <tableColumns count="15">
    <tableColumn id="1" xr3:uid="{00000000-0010-0000-1F00-000001000000}" name="Measure Number" dataDxfId="391"/>
    <tableColumn id="14" xr3:uid="{00000000-0010-0000-1F00-00000E000000}" name="Project Category" dataDxfId="390"/>
    <tableColumn id="2" xr3:uid="{00000000-0010-0000-1F00-000002000000}" name="Proj Desc 1" dataDxfId="389"/>
    <tableColumn id="3" xr3:uid="{00000000-0010-0000-1F00-000003000000}" name="Proj Desc 2" dataDxfId="388"/>
    <tableColumn id="4" xr3:uid="{00000000-0010-0000-1F00-000004000000}" name="Inc Rate" dataDxfId="387"/>
    <tableColumn id="5" xr3:uid="{00000000-0010-0000-1F00-000005000000}" name="EUL" dataDxfId="386"/>
    <tableColumn id="6" xr3:uid="{00000000-0010-0000-1F00-000006000000}" name="Measure Group" dataDxfId="385"/>
    <tableColumn id="7" xr3:uid="{00000000-0010-0000-1F00-000007000000}" name="Measure Subgroup 1" dataDxfId="384"/>
    <tableColumn id="8" xr3:uid="{00000000-0010-0000-1F00-000008000000}" name="Measure Subgroup 2" dataDxfId="383"/>
    <tableColumn id="9" xr3:uid="{00000000-0010-0000-1F00-000009000000}" name="Units" dataDxfId="382"/>
    <tableColumn id="10" xr3:uid="{00000000-0010-0000-1F00-00000A000000}" name="Order" dataDxfId="381"/>
    <tableColumn id="11" xr3:uid="{00000000-0010-0000-1F00-00000B000000}" name="End Use Category" dataDxfId="380"/>
    <tableColumn id="12" xr3:uid="{00000000-0010-0000-1F00-00000C000000}" name="Factor" dataDxfId="379"/>
    <tableColumn id="15" xr3:uid="{00000000-0010-0000-1F00-00000F000000}" name="Cost Basis" dataDxfId="378"/>
    <tableColumn id="13" xr3:uid="{00000000-0010-0000-1F00-00000D000000}" name="Application Tab" dataDxfId="37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izSavers@ameren.com" TargetMode="External"/><Relationship Id="rId1" Type="http://schemas.openxmlformats.org/officeDocument/2006/relationships/hyperlink" Target="mailto:NIPSCO.Savings@LMCO.com" TargetMode="External"/><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https://www.eia.gov/tools/faqs/faq.php?id=74&amp;t=11" TargetMode="External"/><Relationship Id="rId4" Type="http://schemas.openxmlformats.org/officeDocument/2006/relationships/table" Target="../tables/table5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7.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18" Type="http://schemas.openxmlformats.org/officeDocument/2006/relationships/table" Target="../tables/table30.xml"/><Relationship Id="rId3" Type="http://schemas.openxmlformats.org/officeDocument/2006/relationships/table" Target="../tables/table15.xml"/><Relationship Id="rId21" Type="http://schemas.openxmlformats.org/officeDocument/2006/relationships/table" Target="../tables/table33.xml"/><Relationship Id="rId7" Type="http://schemas.openxmlformats.org/officeDocument/2006/relationships/table" Target="../tables/table19.xml"/><Relationship Id="rId12" Type="http://schemas.openxmlformats.org/officeDocument/2006/relationships/table" Target="../tables/table24.xml"/><Relationship Id="rId17" Type="http://schemas.openxmlformats.org/officeDocument/2006/relationships/table" Target="../tables/table29.xml"/><Relationship Id="rId2" Type="http://schemas.openxmlformats.org/officeDocument/2006/relationships/table" Target="../tables/table14.xml"/><Relationship Id="rId16" Type="http://schemas.openxmlformats.org/officeDocument/2006/relationships/table" Target="../tables/table28.xml"/><Relationship Id="rId20" Type="http://schemas.openxmlformats.org/officeDocument/2006/relationships/table" Target="../tables/table32.xml"/><Relationship Id="rId1" Type="http://schemas.openxmlformats.org/officeDocument/2006/relationships/printerSettings" Target="../printerSettings/printerSettings6.bin"/><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19" Type="http://schemas.openxmlformats.org/officeDocument/2006/relationships/table" Target="../tables/table31.xml"/><Relationship Id="rId4" Type="http://schemas.openxmlformats.org/officeDocument/2006/relationships/table" Target="../tables/table16.xml"/><Relationship Id="rId9" Type="http://schemas.openxmlformats.org/officeDocument/2006/relationships/table" Target="../tables/table21.xml"/><Relationship Id="rId14" Type="http://schemas.openxmlformats.org/officeDocument/2006/relationships/table" Target="../tables/table26.xml"/><Relationship Id="rId22" Type="http://schemas.openxmlformats.org/officeDocument/2006/relationships/table" Target="../tables/table3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5.xml"/><Relationship Id="rId13" Type="http://schemas.openxmlformats.org/officeDocument/2006/relationships/table" Target="../tables/table40.xml"/><Relationship Id="rId18" Type="http://schemas.openxmlformats.org/officeDocument/2006/relationships/table" Target="../tables/table45.xml"/><Relationship Id="rId26" Type="http://schemas.openxmlformats.org/officeDocument/2006/relationships/table" Target="../tables/table53.xml"/><Relationship Id="rId3" Type="http://schemas.openxmlformats.org/officeDocument/2006/relationships/hyperlink" Target="mailto:RGabrielson@trccompanies.com" TargetMode="External"/><Relationship Id="rId21" Type="http://schemas.openxmlformats.org/officeDocument/2006/relationships/table" Target="../tables/table48.xml"/><Relationship Id="rId7" Type="http://schemas.openxmlformats.org/officeDocument/2006/relationships/printerSettings" Target="../printerSettings/printerSettings7.bin"/><Relationship Id="rId12" Type="http://schemas.openxmlformats.org/officeDocument/2006/relationships/table" Target="../tables/table39.xml"/><Relationship Id="rId17" Type="http://schemas.openxmlformats.org/officeDocument/2006/relationships/table" Target="../tables/table44.xml"/><Relationship Id="rId25" Type="http://schemas.openxmlformats.org/officeDocument/2006/relationships/table" Target="../tables/table52.xml"/><Relationship Id="rId2" Type="http://schemas.openxmlformats.org/officeDocument/2006/relationships/hyperlink" Target="mailto:LBoschert@trccompanies.com" TargetMode="External"/><Relationship Id="rId16" Type="http://schemas.openxmlformats.org/officeDocument/2006/relationships/table" Target="../tables/table43.xml"/><Relationship Id="rId20" Type="http://schemas.openxmlformats.org/officeDocument/2006/relationships/table" Target="../tables/table47.xml"/><Relationship Id="rId29" Type="http://schemas.openxmlformats.org/officeDocument/2006/relationships/table" Target="../tables/table56.xml"/><Relationship Id="rId1" Type="http://schemas.openxmlformats.org/officeDocument/2006/relationships/hyperlink" Target="mailto:JVTravis@trccompanies.com" TargetMode="External"/><Relationship Id="rId6" Type="http://schemas.openxmlformats.org/officeDocument/2006/relationships/hyperlink" Target="mailto:JBushman@trccompanies.com" TargetMode="External"/><Relationship Id="rId11" Type="http://schemas.openxmlformats.org/officeDocument/2006/relationships/table" Target="../tables/table38.xml"/><Relationship Id="rId24" Type="http://schemas.openxmlformats.org/officeDocument/2006/relationships/table" Target="../tables/table51.xml"/><Relationship Id="rId5" Type="http://schemas.openxmlformats.org/officeDocument/2006/relationships/hyperlink" Target="mailto:RYakel@trccompanies.com" TargetMode="External"/><Relationship Id="rId15" Type="http://schemas.openxmlformats.org/officeDocument/2006/relationships/table" Target="../tables/table42.xml"/><Relationship Id="rId23" Type="http://schemas.openxmlformats.org/officeDocument/2006/relationships/table" Target="../tables/table50.xml"/><Relationship Id="rId28" Type="http://schemas.openxmlformats.org/officeDocument/2006/relationships/table" Target="../tables/table55.xml"/><Relationship Id="rId10" Type="http://schemas.openxmlformats.org/officeDocument/2006/relationships/table" Target="../tables/table37.xml"/><Relationship Id="rId19" Type="http://schemas.openxmlformats.org/officeDocument/2006/relationships/table" Target="../tables/table46.xml"/><Relationship Id="rId4" Type="http://schemas.openxmlformats.org/officeDocument/2006/relationships/hyperlink" Target="mailto:JParker@trccompanies.com" TargetMode="External"/><Relationship Id="rId9" Type="http://schemas.openxmlformats.org/officeDocument/2006/relationships/table" Target="../tables/table36.xml"/><Relationship Id="rId14" Type="http://schemas.openxmlformats.org/officeDocument/2006/relationships/table" Target="../tables/table41.xml"/><Relationship Id="rId22" Type="http://schemas.openxmlformats.org/officeDocument/2006/relationships/table" Target="../tables/table49.xml"/><Relationship Id="rId27" Type="http://schemas.openxmlformats.org/officeDocument/2006/relationships/table" Target="../tables/table54.xml"/><Relationship Id="rId30" Type="http://schemas.openxmlformats.org/officeDocument/2006/relationships/table" Target="../tables/table5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eia.gov/tools/faqs/faq.php?id=74&amp;t=11" TargetMode="External"/><Relationship Id="rId1" Type="http://schemas.openxmlformats.org/officeDocument/2006/relationships/hyperlink" Target="mailto:NIPSCO.Savings@LMCO.com" TargetMode="External"/><Relationship Id="rId4"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D135"/>
  <sheetViews>
    <sheetView zoomScale="85" zoomScaleNormal="85" workbookViewId="0">
      <pane xSplit="2" topLeftCell="C1" activePane="topRight" state="frozen"/>
      <selection pane="topRight" activeCell="C134" sqref="C134"/>
    </sheetView>
  </sheetViews>
  <sheetFormatPr defaultColWidth="0" defaultRowHeight="15" x14ac:dyDescent="0.25"/>
  <cols>
    <col min="1" max="1" width="24.140625" customWidth="1"/>
    <col min="2" max="2" width="29.85546875" customWidth="1"/>
    <col min="3" max="4" width="9.140625" customWidth="1"/>
    <col min="5" max="5" width="40.7109375" customWidth="1"/>
    <col min="6" max="6" width="19" customWidth="1"/>
    <col min="7" max="8" width="15.7109375" customWidth="1"/>
    <col min="9" max="9" width="33.7109375" bestFit="1" customWidth="1"/>
    <col min="10" max="10" width="17.85546875" bestFit="1" customWidth="1"/>
    <col min="11" max="11" width="17" bestFit="1" customWidth="1"/>
    <col min="12" max="12" width="15.7109375" customWidth="1"/>
    <col min="13" max="13" width="16.7109375" bestFit="1" customWidth="1"/>
    <col min="14" max="14" width="19.140625" bestFit="1" customWidth="1"/>
    <col min="15" max="16" width="16.7109375" customWidth="1"/>
    <col min="17" max="17" width="19.140625" bestFit="1" customWidth="1"/>
    <col min="18" max="18" width="11.28515625" bestFit="1" customWidth="1"/>
    <col min="19" max="20" width="9.140625" customWidth="1"/>
    <col min="21" max="29" width="9.140625" hidden="1" customWidth="1"/>
    <col min="30" max="30" width="0" hidden="1" customWidth="1"/>
    <col min="31" max="16384" width="9.140625" hidden="1"/>
  </cols>
  <sheetData>
    <row r="1" spans="1:8" x14ac:dyDescent="0.25">
      <c r="A1" s="10" t="s">
        <v>61</v>
      </c>
      <c r="B1" s="1" t="str">
        <f>VERSION</f>
        <v>Lighting One-Page 2.3.0</v>
      </c>
      <c r="E1" s="38" t="s">
        <v>181</v>
      </c>
      <c r="F1" s="33">
        <f>IF(G31=0,0,G31)</f>
        <v>0</v>
      </c>
    </row>
    <row r="2" spans="1:8" ht="15" customHeight="1" x14ac:dyDescent="0.25">
      <c r="A2" s="10" t="s">
        <v>0</v>
      </c>
      <c r="B2" s="1" t="s">
        <v>456</v>
      </c>
      <c r="E2" s="38" t="s">
        <v>372</v>
      </c>
      <c r="F2" s="33"/>
    </row>
    <row r="3" spans="1:8" ht="15" customHeight="1" x14ac:dyDescent="0.25">
      <c r="A3" s="10" t="s">
        <v>1</v>
      </c>
      <c r="B3" s="1" t="s">
        <v>1973</v>
      </c>
      <c r="E3" s="38" t="s">
        <v>182</v>
      </c>
      <c r="F3" s="33" t="str">
        <f>IF(J31&lt;150,"---",IF(AND(ISNUMBER(SEARCH("YES",M02S02F44)),J31&gt;15000),15000,J31))</f>
        <v>---</v>
      </c>
    </row>
    <row r="4" spans="1:8" ht="15" customHeight="1" x14ac:dyDescent="0.25">
      <c r="E4" s="38" t="s">
        <v>371</v>
      </c>
      <c r="F4" s="33" t="str">
        <f ca="1">IF(EXPIRATION&lt;&gt;"",PROJSTATEXP,IF(AND(PROGRESSSTATUS=1,INCENTOTAL&lt;150),PROJSTATUNDER,IF(AND(PROGRESSSTATUS&lt;1,INCENTOTAL=0),PROJSTATMEASURE,IF(AND(PROGRESSSTATUS&lt;1,INCENTOTAL&lt;&gt;0),PROJFILLOUT,IF(AND(ISNUMBER(SEARCH("YES,",M02S02F44)),INCENTOTAL&lt;=15000,PROGRESSSTATUS=1),PROJSTATSTANDARD,IF(AND(ISNUMBER(SEARCH("YES,",M02S02F44)),INCENTOTAL&gt;15000,PROGRESSSTATUS=1),PROJSTATBOUGHT,IF(AND(ISNUMBER(SEARCH("NO,",M02S02F44)),INCENTOTAL&lt;=15000,PROGRESSSTATUS=1),PROJSTATSTANDARD,IF(AND(ISNUMBER(SEARCH("NO,",M02S02F44)),INCENTOTAL&gt;15000,PROGRESSSTATUS=1),PROJSTATPREAPPROVE,IF(INCENTOTAL&lt;150,PROJSTATUNDER)))))))))</f>
        <v>Enter Measures</v>
      </c>
      <c r="H4" s="171" t="s">
        <v>1794</v>
      </c>
    </row>
    <row r="5" spans="1:8" x14ac:dyDescent="0.25">
      <c r="E5" s="38" t="s">
        <v>376</v>
      </c>
      <c r="F5" s="37">
        <f ca="1">SUM(A92,A72)/SUM(D72,D92)</f>
        <v>0</v>
      </c>
    </row>
    <row r="6" spans="1:8" x14ac:dyDescent="0.25">
      <c r="A6" s="2" t="s">
        <v>2</v>
      </c>
      <c r="B6" s="3" t="s">
        <v>3</v>
      </c>
      <c r="E6" s="38" t="s">
        <v>1534</v>
      </c>
      <c r="F6" s="37">
        <f>IF(AND(ISNUMBER(SEARCH("YES",M02S02F44)),J31&gt;15000),((15000/J31)), 1)</f>
        <v>1</v>
      </c>
    </row>
    <row r="7" spans="1:8" x14ac:dyDescent="0.25">
      <c r="A7" s="4" t="s">
        <v>30</v>
      </c>
      <c r="B7" s="5" t="s">
        <v>1756</v>
      </c>
    </row>
    <row r="8" spans="1:8" x14ac:dyDescent="0.25">
      <c r="A8" s="6" t="s">
        <v>31</v>
      </c>
      <c r="B8" s="7" t="s">
        <v>183</v>
      </c>
      <c r="E8" s="479" t="s">
        <v>2070</v>
      </c>
    </row>
    <row r="9" spans="1:8" x14ac:dyDescent="0.25">
      <c r="A9" s="6" t="s">
        <v>56</v>
      </c>
      <c r="B9" s="7" t="s">
        <v>1743</v>
      </c>
    </row>
    <row r="10" spans="1:8" x14ac:dyDescent="0.25">
      <c r="A10" s="6" t="s">
        <v>57</v>
      </c>
      <c r="B10" s="7" t="s">
        <v>395</v>
      </c>
      <c r="E10" t="str">
        <f ca="1">EXPIRATION</f>
        <v/>
      </c>
    </row>
    <row r="11" spans="1:8" x14ac:dyDescent="0.25">
      <c r="A11" s="6" t="s">
        <v>58</v>
      </c>
      <c r="B11" s="7" t="s">
        <v>1744</v>
      </c>
    </row>
    <row r="12" spans="1:8" x14ac:dyDescent="0.25">
      <c r="A12" s="6" t="s">
        <v>59</v>
      </c>
      <c r="B12" s="7" t="s">
        <v>1757</v>
      </c>
    </row>
    <row r="13" spans="1:8" x14ac:dyDescent="0.25">
      <c r="A13" s="6" t="s">
        <v>60</v>
      </c>
      <c r="B13" s="7" t="s">
        <v>4</v>
      </c>
    </row>
    <row r="14" spans="1:8" x14ac:dyDescent="0.25">
      <c r="A14" s="6" t="s">
        <v>1745</v>
      </c>
      <c r="B14" s="7" t="s">
        <v>5</v>
      </c>
      <c r="E14" t="s">
        <v>1313</v>
      </c>
    </row>
    <row r="15" spans="1:8" x14ac:dyDescent="0.25">
      <c r="A15" s="8" t="s">
        <v>1746</v>
      </c>
      <c r="B15" s="9" t="s">
        <v>1753</v>
      </c>
    </row>
    <row r="16" spans="1:8" x14ac:dyDescent="0.25">
      <c r="A16" s="4" t="s">
        <v>1747</v>
      </c>
      <c r="B16" s="5" t="s">
        <v>62</v>
      </c>
    </row>
    <row r="17" spans="1:19" x14ac:dyDescent="0.25">
      <c r="A17" s="6" t="s">
        <v>6</v>
      </c>
      <c r="B17" s="7" t="s">
        <v>1587</v>
      </c>
    </row>
    <row r="18" spans="1:19" x14ac:dyDescent="0.25">
      <c r="A18" s="6" t="s">
        <v>7</v>
      </c>
      <c r="B18" s="7" t="s">
        <v>83</v>
      </c>
    </row>
    <row r="19" spans="1:19" x14ac:dyDescent="0.25">
      <c r="A19" s="6" t="s">
        <v>8</v>
      </c>
      <c r="B19" s="7" t="s">
        <v>921</v>
      </c>
    </row>
    <row r="20" spans="1:19" x14ac:dyDescent="0.25">
      <c r="A20" s="6" t="s">
        <v>9</v>
      </c>
      <c r="B20" s="7" t="s">
        <v>63</v>
      </c>
    </row>
    <row r="21" spans="1:19" x14ac:dyDescent="0.25">
      <c r="A21" s="6" t="s">
        <v>10</v>
      </c>
      <c r="B21" s="24" t="s">
        <v>1588</v>
      </c>
    </row>
    <row r="22" spans="1:19" x14ac:dyDescent="0.25">
      <c r="A22" s="6" t="s">
        <v>11</v>
      </c>
      <c r="B22" s="7" t="s">
        <v>11</v>
      </c>
    </row>
    <row r="23" spans="1:19" x14ac:dyDescent="0.25">
      <c r="A23" s="6" t="s">
        <v>12</v>
      </c>
      <c r="B23" s="7" t="s">
        <v>12</v>
      </c>
    </row>
    <row r="24" spans="1:19" x14ac:dyDescent="0.25">
      <c r="A24" s="8" t="s">
        <v>13</v>
      </c>
      <c r="B24" s="9" t="s">
        <v>13</v>
      </c>
    </row>
    <row r="25" spans="1:19" x14ac:dyDescent="0.25">
      <c r="A25" s="4" t="s">
        <v>1748</v>
      </c>
      <c r="B25" s="5" t="s">
        <v>1395</v>
      </c>
      <c r="E25" s="35"/>
      <c r="F25" s="35" t="s">
        <v>1179</v>
      </c>
      <c r="G25" s="35" t="s">
        <v>1314</v>
      </c>
      <c r="H25" s="35" t="s">
        <v>1315</v>
      </c>
      <c r="I25" s="35" t="s">
        <v>1079</v>
      </c>
      <c r="J25" s="312" t="s">
        <v>1639</v>
      </c>
      <c r="K25" s="35" t="s">
        <v>1076</v>
      </c>
      <c r="L25" s="35" t="s">
        <v>1077</v>
      </c>
      <c r="M25" s="35" t="s">
        <v>1078</v>
      </c>
      <c r="N25" s="312" t="s">
        <v>1674</v>
      </c>
      <c r="O25" s="312" t="s">
        <v>1672</v>
      </c>
      <c r="P25" s="312" t="s">
        <v>1673</v>
      </c>
      <c r="Q25" s="312" t="s">
        <v>1640</v>
      </c>
    </row>
    <row r="26" spans="1:19" x14ac:dyDescent="0.25">
      <c r="A26" s="6" t="s">
        <v>14</v>
      </c>
      <c r="B26" s="7" t="s">
        <v>1396</v>
      </c>
      <c r="E26" s="50" t="str">
        <f>B25</f>
        <v>LIGHTING MEASURES</v>
      </c>
      <c r="F26" s="196">
        <f>SUM('M01-S01'!AV32:AV71)</f>
        <v>0</v>
      </c>
      <c r="G26" s="196">
        <f>SUM('M01-S01'!AJ32:AM71)</f>
        <v>0</v>
      </c>
      <c r="H26" s="308">
        <f>SUM('M01-S01'!AU32:AU71)</f>
        <v>0</v>
      </c>
      <c r="I26" s="310">
        <f>SUM('M01-S01'!AT32:AT71)</f>
        <v>0</v>
      </c>
      <c r="J26" s="310">
        <f>SUM('M01-S01'!BH32:BH71)</f>
        <v>0</v>
      </c>
      <c r="K26" s="196">
        <f>SUMIF('M01-S01'!AN32:AQ71,"&gt;0",'M01-S01'!AJ32:AM71)</f>
        <v>0</v>
      </c>
      <c r="L26" s="308">
        <f ca="1">SUMIF('M01-S01'!AN32:AQ71,"&gt;0",'M01-S01'!AU32:AU71)</f>
        <v>0</v>
      </c>
      <c r="M26" s="310">
        <f ca="1">SUMIF('M01-S01'!AN32:AQ71,"&gt;0",'M01-S01'!AT32:AT71)</f>
        <v>0</v>
      </c>
      <c r="N26" s="313">
        <f>SUM('M01-S01'!BF32:BF71)</f>
        <v>0</v>
      </c>
      <c r="O26" s="313">
        <f>SUM('M01-S01'!BG32:BG71)</f>
        <v>0</v>
      </c>
      <c r="P26" s="313">
        <f>SUM('M01-S01'!BG32:BG71)</f>
        <v>0</v>
      </c>
      <c r="Q26" s="313">
        <f ca="1">SUMIF('M01-S01'!AN32:AQ71,"&gt;0",'M01-S01'!AT32:AT71)</f>
        <v>0</v>
      </c>
    </row>
    <row r="27" spans="1:19" x14ac:dyDescent="0.25">
      <c r="A27" s="6" t="s">
        <v>15</v>
      </c>
      <c r="B27" s="7" t="s">
        <v>1398</v>
      </c>
      <c r="E27" s="36" t="s">
        <v>1393</v>
      </c>
      <c r="F27" s="197"/>
      <c r="G27" s="197"/>
      <c r="H27" s="197"/>
      <c r="I27" s="197"/>
      <c r="J27" s="311"/>
      <c r="K27" s="197"/>
      <c r="L27" s="197"/>
      <c r="M27" s="311"/>
      <c r="N27" s="311"/>
      <c r="O27" s="311"/>
      <c r="P27" s="314"/>
      <c r="Q27" s="314"/>
      <c r="R27" s="36" t="s">
        <v>172</v>
      </c>
      <c r="S27" s="36" t="s">
        <v>462</v>
      </c>
    </row>
    <row r="28" spans="1:19" x14ac:dyDescent="0.25">
      <c r="A28" s="6" t="s">
        <v>16</v>
      </c>
      <c r="B28" s="7" t="s">
        <v>1397</v>
      </c>
      <c r="E28" s="36" t="s">
        <v>179</v>
      </c>
      <c r="F28" s="197"/>
      <c r="G28" s="197"/>
      <c r="H28" s="309"/>
      <c r="I28" s="311"/>
      <c r="J28" s="311"/>
      <c r="K28" s="197"/>
      <c r="L28" s="309"/>
      <c r="M28" s="311"/>
      <c r="N28" s="314"/>
      <c r="O28" s="314"/>
      <c r="P28" s="314"/>
      <c r="Q28" s="314"/>
      <c r="R28" s="34" t="str">
        <f>IFERROR(ROUND(((1+ELOSS)*((KWHTOTALPRESE*INDEX(ELECCB[NPV AEC $/kWh],MATCH(12,ELECCB[Year Number],0)))+(KWTOTALPRESE*INDEX(ELECCB[NPV ACC+T&amp;D $/kW],MATCH(12,ELECCB[Year Number],0))))/COSTTOTALALLPRESE),2),"NA")</f>
        <v>NA</v>
      </c>
      <c r="S28" s="34" t="str">
        <f>IFERROR(ROUND(COSTTOTALALLPRESE/M02S02F35/KWHTOTALPRESE,2),"NA")</f>
        <v>NA</v>
      </c>
    </row>
    <row r="29" spans="1:19" x14ac:dyDescent="0.25">
      <c r="A29" s="6" t="s">
        <v>17</v>
      </c>
      <c r="B29" s="7" t="s">
        <v>2088</v>
      </c>
      <c r="E29" s="36" t="s">
        <v>1378</v>
      </c>
      <c r="F29" s="197"/>
      <c r="G29" s="197"/>
      <c r="H29" s="309"/>
      <c r="I29" s="311"/>
      <c r="J29" s="311"/>
      <c r="K29" s="197"/>
      <c r="L29" s="309"/>
      <c r="M29" s="311"/>
      <c r="N29" s="314"/>
      <c r="O29" s="314"/>
      <c r="P29" s="314"/>
      <c r="Q29" s="314"/>
      <c r="R29" s="34" t="str">
        <f>IFERROR(ROUND(((1+ELOSS)*((KWHTOTALCUSE*INDEX(ELECCB[NPV AEC $/kWh],MATCH(12,ELECCB[Year Number],0)))+(KWTOTALCUSE*INDEX(ELECCB[NPV ACC+T&amp;D $/kW],MATCH(15,ELECCB[Year Number],0))))/COSTTOTALALLCUSE),2),"NA")</f>
        <v>NA</v>
      </c>
      <c r="S29" s="34" t="str">
        <f>IFERROR(ROUND(COSTTOTALALLCUSE/M02S02F35/KWHTOTALCUSE,2),"NA")</f>
        <v>NA</v>
      </c>
    </row>
    <row r="30" spans="1:19" x14ac:dyDescent="0.25">
      <c r="A30" s="6" t="s">
        <v>18</v>
      </c>
      <c r="B30" s="7" t="s">
        <v>1331</v>
      </c>
      <c r="E30" s="36" t="s">
        <v>1379</v>
      </c>
      <c r="F30" s="197"/>
      <c r="G30" s="197"/>
      <c r="H30" s="197"/>
      <c r="I30" s="197"/>
      <c r="J30" s="197"/>
      <c r="K30" s="197"/>
      <c r="L30" s="197"/>
      <c r="M30" s="197"/>
      <c r="N30" s="311"/>
      <c r="O30" s="311"/>
      <c r="P30" s="314"/>
      <c r="Q30" s="314"/>
    </row>
    <row r="31" spans="1:19" x14ac:dyDescent="0.25">
      <c r="A31" s="6" t="s">
        <v>19</v>
      </c>
      <c r="B31" s="7" t="s">
        <v>1677</v>
      </c>
      <c r="E31" s="36" t="s">
        <v>180</v>
      </c>
      <c r="F31" s="197">
        <f t="shared" ref="F31:N31" si="0">SUM(F26:F26)</f>
        <v>0</v>
      </c>
      <c r="G31" s="197">
        <f t="shared" si="0"/>
        <v>0</v>
      </c>
      <c r="H31" s="309">
        <f t="shared" si="0"/>
        <v>0</v>
      </c>
      <c r="I31" s="311">
        <f t="shared" si="0"/>
        <v>0</v>
      </c>
      <c r="J31" s="311">
        <f t="shared" si="0"/>
        <v>0</v>
      </c>
      <c r="K31" s="197">
        <f t="shared" si="0"/>
        <v>0</v>
      </c>
      <c r="L31" s="309">
        <f t="shared" ca="1" si="0"/>
        <v>0</v>
      </c>
      <c r="M31" s="311">
        <f t="shared" ca="1" si="0"/>
        <v>0</v>
      </c>
      <c r="N31" s="314">
        <f t="shared" si="0"/>
        <v>0</v>
      </c>
      <c r="O31" s="314">
        <f ca="1">MIN(ELIBONUS,BONUSCOST)</f>
        <v>0</v>
      </c>
      <c r="P31" s="314">
        <f>SUM(P26:P26)</f>
        <v>0</v>
      </c>
      <c r="Q31" s="314">
        <f ca="1">SUM(Q26:Q26)</f>
        <v>0</v>
      </c>
      <c r="R31" s="34" t="str">
        <f ca="1">IFERROR(ROUND(((1+ELOSS)*((KWHTOTAL*INDEX(ELECCB[NPV AEC $/kWh],MATCH(12,ELECCB[Year Number],0)))+(KWTOTAL*INDEX(ELECCB[NPV ACC+T&amp;D $/kW],MATCH(12,ELECCB[Year Number],0))))/COSTTOTALALL),2),"NA")</f>
        <v>NA</v>
      </c>
      <c r="S31" s="34" t="str">
        <f>IFERROR(ROUND(COSTTOTALALL/M02S02F35/KWHTOTAL,2),"NA")</f>
        <v>NA</v>
      </c>
    </row>
    <row r="32" spans="1:19" x14ac:dyDescent="0.25">
      <c r="A32" s="6" t="s">
        <v>20</v>
      </c>
      <c r="B32" s="7" t="s">
        <v>20</v>
      </c>
      <c r="M32" s="285"/>
      <c r="N32" s="315" t="s">
        <v>1642</v>
      </c>
      <c r="O32" s="316">
        <f>SUM(O26:O26)</f>
        <v>0</v>
      </c>
      <c r="P32" s="316"/>
      <c r="Q32" s="315"/>
    </row>
    <row r="33" spans="1:17" x14ac:dyDescent="0.25">
      <c r="A33" s="8" t="s">
        <v>21</v>
      </c>
      <c r="B33" s="9" t="s">
        <v>21</v>
      </c>
      <c r="N33" s="315" t="s">
        <v>1641</v>
      </c>
      <c r="O33" s="315" t="e">
        <f ca="1">ACTBONUS/ELIBONUS</f>
        <v>#DIV/0!</v>
      </c>
      <c r="P33" s="315"/>
      <c r="Q33" s="315"/>
    </row>
    <row r="34" spans="1:17" x14ac:dyDescent="0.25">
      <c r="A34" s="4" t="s">
        <v>1749</v>
      </c>
      <c r="B34" s="5" t="s">
        <v>1329</v>
      </c>
    </row>
    <row r="35" spans="1:17" ht="30" x14ac:dyDescent="0.25">
      <c r="A35" s="6" t="s">
        <v>22</v>
      </c>
      <c r="B35" s="24" t="s">
        <v>1363</v>
      </c>
    </row>
    <row r="36" spans="1:17" x14ac:dyDescent="0.25">
      <c r="A36" s="6" t="s">
        <v>23</v>
      </c>
      <c r="B36" s="24" t="s">
        <v>113</v>
      </c>
    </row>
    <row r="37" spans="1:17" x14ac:dyDescent="0.25">
      <c r="A37" s="6" t="s">
        <v>24</v>
      </c>
      <c r="B37" s="24" t="s">
        <v>970</v>
      </c>
    </row>
    <row r="38" spans="1:17" x14ac:dyDescent="0.25">
      <c r="A38" s="6" t="s">
        <v>25</v>
      </c>
      <c r="B38" s="24" t="s">
        <v>176</v>
      </c>
    </row>
    <row r="39" spans="1:17" x14ac:dyDescent="0.25">
      <c r="A39" s="6" t="s">
        <v>26</v>
      </c>
      <c r="B39" s="24" t="s">
        <v>1357</v>
      </c>
    </row>
    <row r="40" spans="1:17" x14ac:dyDescent="0.25">
      <c r="A40" s="6" t="s">
        <v>27</v>
      </c>
      <c r="B40" s="24" t="s">
        <v>115</v>
      </c>
    </row>
    <row r="41" spans="1:17" x14ac:dyDescent="0.25">
      <c r="A41" s="6" t="s">
        <v>28</v>
      </c>
      <c r="B41" s="24" t="s">
        <v>1696</v>
      </c>
    </row>
    <row r="42" spans="1:17" x14ac:dyDescent="0.25">
      <c r="A42" s="8" t="s">
        <v>29</v>
      </c>
      <c r="B42" s="9" t="s">
        <v>29</v>
      </c>
    </row>
    <row r="43" spans="1:17" x14ac:dyDescent="0.25">
      <c r="A43" s="4" t="s">
        <v>1750</v>
      </c>
      <c r="B43" s="5" t="s">
        <v>1330</v>
      </c>
    </row>
    <row r="44" spans="1:17" x14ac:dyDescent="0.25">
      <c r="A44" s="6" t="s">
        <v>32</v>
      </c>
      <c r="B44" s="7" t="s">
        <v>111</v>
      </c>
    </row>
    <row r="45" spans="1:17" x14ac:dyDescent="0.25">
      <c r="A45" s="6" t="s">
        <v>33</v>
      </c>
      <c r="B45" s="7" t="s">
        <v>971</v>
      </c>
    </row>
    <row r="46" spans="1:17" x14ac:dyDescent="0.25">
      <c r="A46" s="6" t="s">
        <v>34</v>
      </c>
      <c r="B46" s="7" t="s">
        <v>969</v>
      </c>
    </row>
    <row r="47" spans="1:17" x14ac:dyDescent="0.25">
      <c r="A47" s="6" t="s">
        <v>35</v>
      </c>
      <c r="B47" s="7" t="s">
        <v>468</v>
      </c>
    </row>
    <row r="48" spans="1:17" x14ac:dyDescent="0.25">
      <c r="A48" s="6" t="s">
        <v>36</v>
      </c>
      <c r="B48" s="7" t="s">
        <v>115</v>
      </c>
    </row>
    <row r="49" spans="1:2" x14ac:dyDescent="0.25">
      <c r="A49" s="6" t="s">
        <v>37</v>
      </c>
      <c r="B49" s="7" t="s">
        <v>113</v>
      </c>
    </row>
    <row r="50" spans="1:2" x14ac:dyDescent="0.25">
      <c r="A50" s="6" t="s">
        <v>38</v>
      </c>
      <c r="B50" s="7" t="s">
        <v>424</v>
      </c>
    </row>
    <row r="51" spans="1:2" x14ac:dyDescent="0.25">
      <c r="A51" s="8" t="s">
        <v>39</v>
      </c>
      <c r="B51" s="195" t="s">
        <v>39</v>
      </c>
    </row>
    <row r="52" spans="1:2" x14ac:dyDescent="0.25">
      <c r="A52" s="4" t="s">
        <v>1751</v>
      </c>
      <c r="B52" s="5" t="s">
        <v>762</v>
      </c>
    </row>
    <row r="53" spans="1:2" x14ac:dyDescent="0.25">
      <c r="A53" s="6" t="s">
        <v>40</v>
      </c>
      <c r="B53" s="7" t="s">
        <v>64</v>
      </c>
    </row>
    <row r="54" spans="1:2" x14ac:dyDescent="0.25">
      <c r="A54" s="6" t="s">
        <v>41</v>
      </c>
      <c r="B54" s="7" t="s">
        <v>78</v>
      </c>
    </row>
    <row r="55" spans="1:2" x14ac:dyDescent="0.25">
      <c r="A55" s="6" t="s">
        <v>42</v>
      </c>
      <c r="B55" s="7" t="s">
        <v>34</v>
      </c>
    </row>
    <row r="56" spans="1:2" x14ac:dyDescent="0.25">
      <c r="A56" s="6" t="s">
        <v>43</v>
      </c>
      <c r="B56" s="7" t="s">
        <v>75</v>
      </c>
    </row>
    <row r="57" spans="1:2" x14ac:dyDescent="0.25">
      <c r="A57" s="6" t="s">
        <v>44</v>
      </c>
      <c r="B57" s="7" t="s">
        <v>76</v>
      </c>
    </row>
    <row r="58" spans="1:2" x14ac:dyDescent="0.25">
      <c r="A58" s="6" t="s">
        <v>45</v>
      </c>
      <c r="B58" s="7" t="s">
        <v>177</v>
      </c>
    </row>
    <row r="59" spans="1:2" x14ac:dyDescent="0.25">
      <c r="A59" s="6" t="s">
        <v>46</v>
      </c>
      <c r="B59" s="7" t="s">
        <v>972</v>
      </c>
    </row>
    <row r="60" spans="1:2" x14ac:dyDescent="0.25">
      <c r="A60" s="8" t="s">
        <v>47</v>
      </c>
      <c r="B60" s="9" t="s">
        <v>47</v>
      </c>
    </row>
    <row r="61" spans="1:2" x14ac:dyDescent="0.25">
      <c r="A61" s="4" t="s">
        <v>1752</v>
      </c>
      <c r="B61" s="5" t="s">
        <v>1332</v>
      </c>
    </row>
    <row r="62" spans="1:2" x14ac:dyDescent="0.25">
      <c r="A62" s="6" t="s">
        <v>48</v>
      </c>
      <c r="B62" s="7" t="s">
        <v>48</v>
      </c>
    </row>
    <row r="63" spans="1:2" x14ac:dyDescent="0.25">
      <c r="A63" s="6" t="s">
        <v>49</v>
      </c>
      <c r="B63" s="7" t="s">
        <v>49</v>
      </c>
    </row>
    <row r="64" spans="1:2" x14ac:dyDescent="0.25">
      <c r="A64" s="6" t="s">
        <v>50</v>
      </c>
      <c r="B64" s="7" t="s">
        <v>50</v>
      </c>
    </row>
    <row r="65" spans="1:5" x14ac:dyDescent="0.25">
      <c r="A65" s="6" t="s">
        <v>51</v>
      </c>
      <c r="B65" s="7" t="s">
        <v>51</v>
      </c>
    </row>
    <row r="66" spans="1:5" x14ac:dyDescent="0.25">
      <c r="A66" s="6" t="s">
        <v>52</v>
      </c>
      <c r="B66" s="7" t="s">
        <v>52</v>
      </c>
    </row>
    <row r="67" spans="1:5" x14ac:dyDescent="0.25">
      <c r="A67" s="6" t="s">
        <v>53</v>
      </c>
      <c r="B67" s="7" t="s">
        <v>53</v>
      </c>
    </row>
    <row r="68" spans="1:5" x14ac:dyDescent="0.25">
      <c r="A68" s="6" t="s">
        <v>54</v>
      </c>
      <c r="B68" s="7" t="s">
        <v>54</v>
      </c>
    </row>
    <row r="69" spans="1:5" x14ac:dyDescent="0.25">
      <c r="A69" s="8" t="s">
        <v>55</v>
      </c>
      <c r="B69" s="9" t="s">
        <v>55</v>
      </c>
    </row>
    <row r="71" spans="1:5" x14ac:dyDescent="0.25">
      <c r="C71" t="s">
        <v>86</v>
      </c>
      <c r="D71" t="s">
        <v>374</v>
      </c>
    </row>
    <row r="72" spans="1:5" x14ac:dyDescent="0.25">
      <c r="A72">
        <f ca="1">SUM(D73:D89)</f>
        <v>0</v>
      </c>
      <c r="B72" t="s">
        <v>1754</v>
      </c>
      <c r="C72">
        <f ca="1">COUNT(C73:C89)</f>
        <v>17</v>
      </c>
      <c r="D72">
        <f ca="1">COUNT(D73:D89)</f>
        <v>15</v>
      </c>
    </row>
    <row r="73" spans="1:5" x14ac:dyDescent="0.25">
      <c r="A73" t="s">
        <v>1818</v>
      </c>
      <c r="B73" t="str">
        <f t="shared" ref="B73:B84" ca="1" si="1">OFFSET(INDIRECT(A73),-1,0)</f>
        <v>Is there a Trade Ally for this Project?*</v>
      </c>
      <c r="C73">
        <f t="shared" ref="C73:C84" ca="1" si="2">IF(INDIRECT($A73)="",0,1)</f>
        <v>0</v>
      </c>
      <c r="D73">
        <f t="shared" ref="D73:D79" ca="1" si="3">IF(M02S03F01="No",1,IF(INDIRECT($A73)="",0,1))</f>
        <v>0</v>
      </c>
      <c r="E73">
        <f t="shared" ref="E73:E84" ca="1" si="4">INDIRECT(A73)</f>
        <v>0</v>
      </c>
    </row>
    <row r="74" spans="1:5" x14ac:dyDescent="0.25">
      <c r="A74" t="s">
        <v>199</v>
      </c>
      <c r="B74" t="str">
        <f t="shared" ca="1" si="1"/>
        <v>Trade Ally Company*</v>
      </c>
      <c r="C74">
        <f t="shared" ca="1" si="2"/>
        <v>0</v>
      </c>
      <c r="D74">
        <f t="shared" ca="1" si="3"/>
        <v>0</v>
      </c>
      <c r="E74">
        <f t="shared" ca="1" si="4"/>
        <v>0</v>
      </c>
    </row>
    <row r="75" spans="1:5" x14ac:dyDescent="0.25">
      <c r="A75" t="s">
        <v>200</v>
      </c>
      <c r="B75" t="str">
        <f t="shared" ca="1" si="1"/>
        <v>First Name*</v>
      </c>
      <c r="C75">
        <f t="shared" ca="1" si="2"/>
        <v>0</v>
      </c>
      <c r="D75">
        <f t="shared" ca="1" si="3"/>
        <v>0</v>
      </c>
      <c r="E75">
        <f t="shared" ca="1" si="4"/>
        <v>0</v>
      </c>
    </row>
    <row r="76" spans="1:5" x14ac:dyDescent="0.25">
      <c r="A76" t="s">
        <v>201</v>
      </c>
      <c r="B76" t="str">
        <f t="shared" ca="1" si="1"/>
        <v>Last Name*</v>
      </c>
      <c r="C76">
        <f t="shared" ca="1" si="2"/>
        <v>0</v>
      </c>
      <c r="D76">
        <f t="shared" ca="1" si="3"/>
        <v>0</v>
      </c>
      <c r="E76">
        <f t="shared" ca="1" si="4"/>
        <v>0</v>
      </c>
    </row>
    <row r="77" spans="1:5" x14ac:dyDescent="0.25">
      <c r="A77" t="s">
        <v>202</v>
      </c>
      <c r="B77" t="str">
        <f t="shared" ca="1" si="1"/>
        <v>Title*</v>
      </c>
      <c r="C77">
        <f t="shared" ca="1" si="2"/>
        <v>0</v>
      </c>
      <c r="D77">
        <f t="shared" ca="1" si="3"/>
        <v>0</v>
      </c>
      <c r="E77">
        <f t="shared" ca="1" si="4"/>
        <v>0</v>
      </c>
    </row>
    <row r="78" spans="1:5" x14ac:dyDescent="0.25">
      <c r="A78" t="s">
        <v>203</v>
      </c>
      <c r="B78" t="str">
        <f t="shared" ca="1" si="1"/>
        <v>Primary Phone*</v>
      </c>
      <c r="C78">
        <f t="shared" ca="1" si="2"/>
        <v>0</v>
      </c>
      <c r="D78">
        <f t="shared" ca="1" si="3"/>
        <v>0</v>
      </c>
      <c r="E78">
        <f t="shared" ca="1" si="4"/>
        <v>0</v>
      </c>
    </row>
    <row r="79" spans="1:5" x14ac:dyDescent="0.25">
      <c r="A79" t="s">
        <v>204</v>
      </c>
      <c r="B79" t="str">
        <f t="shared" ca="1" si="1"/>
        <v>Email*</v>
      </c>
      <c r="C79">
        <f t="shared" ca="1" si="2"/>
        <v>0</v>
      </c>
      <c r="D79">
        <f t="shared" ca="1" si="3"/>
        <v>0</v>
      </c>
      <c r="E79">
        <f t="shared" ca="1" si="4"/>
        <v>0</v>
      </c>
    </row>
    <row r="80" spans="1:5" x14ac:dyDescent="0.25">
      <c r="A80" t="s">
        <v>1579</v>
      </c>
      <c r="B80" t="str">
        <f t="shared" ca="1" si="1"/>
        <v>Site Name*</v>
      </c>
      <c r="C80">
        <f t="shared" ca="1" si="2"/>
        <v>0</v>
      </c>
      <c r="D80">
        <f ca="1">IF(INDIRECT($A80)="",0,1)</f>
        <v>0</v>
      </c>
      <c r="E80">
        <f t="shared" ca="1" si="4"/>
        <v>0</v>
      </c>
    </row>
    <row r="81" spans="1:5" x14ac:dyDescent="0.25">
      <c r="A81" t="s">
        <v>189</v>
      </c>
      <c r="B81" t="str">
        <f t="shared" ca="1" si="1"/>
        <v>Site Address*</v>
      </c>
      <c r="C81">
        <f t="shared" ca="1" si="2"/>
        <v>0</v>
      </c>
      <c r="D81">
        <f ca="1">IF(INDIRECT($A81)="",0,1)</f>
        <v>0</v>
      </c>
      <c r="E81">
        <f t="shared" ca="1" si="4"/>
        <v>0</v>
      </c>
    </row>
    <row r="82" spans="1:5" x14ac:dyDescent="0.25">
      <c r="A82" t="s">
        <v>190</v>
      </c>
      <c r="B82" t="str">
        <f t="shared" ca="1" si="1"/>
        <v>City*</v>
      </c>
      <c r="C82">
        <f t="shared" ca="1" si="2"/>
        <v>0</v>
      </c>
      <c r="D82">
        <f ca="1">IF(INDIRECT($A82)="",0,1)</f>
        <v>0</v>
      </c>
      <c r="E82">
        <f t="shared" ca="1" si="4"/>
        <v>0</v>
      </c>
    </row>
    <row r="83" spans="1:5" x14ac:dyDescent="0.25">
      <c r="A83" t="s">
        <v>191</v>
      </c>
      <c r="B83" t="str">
        <f t="shared" ca="1" si="1"/>
        <v>State*</v>
      </c>
      <c r="C83">
        <f t="shared" ca="1" si="2"/>
        <v>1</v>
      </c>
      <c r="E83" t="str">
        <f t="shared" ca="1" si="4"/>
        <v>MO</v>
      </c>
    </row>
    <row r="84" spans="1:5" x14ac:dyDescent="0.25">
      <c r="A84" t="s">
        <v>192</v>
      </c>
      <c r="B84" t="str">
        <f t="shared" ca="1" si="1"/>
        <v>Zip Code*</v>
      </c>
      <c r="C84">
        <f t="shared" ca="1" si="2"/>
        <v>0</v>
      </c>
      <c r="D84">
        <f ca="1">IF(INDIRECT($A84)="",0,1)</f>
        <v>0</v>
      </c>
      <c r="E84">
        <f t="shared" ca="1" si="4"/>
        <v>0</v>
      </c>
    </row>
    <row r="85" spans="1:5" x14ac:dyDescent="0.25">
      <c r="A85" t="s">
        <v>375</v>
      </c>
      <c r="B85" t="s">
        <v>1510</v>
      </c>
      <c r="C85">
        <f>IF(J26&gt;0,1,0)</f>
        <v>0</v>
      </c>
      <c r="D85">
        <f>IF(INCENTOTAL&gt;0,1,0)</f>
        <v>0</v>
      </c>
    </row>
    <row r="86" spans="1:5" x14ac:dyDescent="0.25">
      <c r="A86" t="s">
        <v>1782</v>
      </c>
      <c r="B86" t="str">
        <f ca="1">OFFSET(INDIRECT(A86),-1,0)</f>
        <v>Has the equipment been installed yet?*</v>
      </c>
      <c r="C86">
        <f ca="1">IF(INDIRECT($A86)="",0,1)</f>
        <v>0</v>
      </c>
      <c r="E86">
        <f ca="1">INDIRECT(A86)</f>
        <v>0</v>
      </c>
    </row>
    <row r="87" spans="1:5" x14ac:dyDescent="0.25">
      <c r="A87" t="s">
        <v>1792</v>
      </c>
      <c r="B87" t="str">
        <f ca="1">OFFSET(INDIRECT(A87),-2,0)</f>
        <v>Estimated date of installation</v>
      </c>
      <c r="C87">
        <f ca="1">IF(INDIRECT($A87)="",0,1)</f>
        <v>0</v>
      </c>
      <c r="D87">
        <f ca="1">IF(M02S02F44="",0,IF(ISNUMBER(SEARCH("YES,",M02S02F44)),1,IF(INDIRECT($A87)="",0,1)))</f>
        <v>0</v>
      </c>
      <c r="E87">
        <f ca="1">INDIRECT(A87)</f>
        <v>0</v>
      </c>
    </row>
    <row r="88" spans="1:5" x14ac:dyDescent="0.25">
      <c r="A88" t="s">
        <v>1822</v>
      </c>
      <c r="B88" t="str">
        <f ca="1">OFFSET(INDIRECT(A88),-2,0)</f>
        <v>Is the Site where upgrades are being installed the headquarters, parent company, or primary office of the organization?*</v>
      </c>
      <c r="C88">
        <f ca="1">IF(INDIRECT($A88)="",0,1)</f>
        <v>0</v>
      </c>
      <c r="D88">
        <f ca="1">IF(INDIRECT($A88)="",0,1)</f>
        <v>0</v>
      </c>
      <c r="E88">
        <f ca="1">INDIRECT(A88)</f>
        <v>0</v>
      </c>
    </row>
    <row r="89" spans="1:5" x14ac:dyDescent="0.25">
      <c r="A89" t="s">
        <v>1823</v>
      </c>
      <c r="B89" t="str">
        <f ca="1">OFFSET(INDIRECT(A89),-1,0)</f>
        <v>If "No", enter the Company Name</v>
      </c>
      <c r="C89">
        <f ca="1">IF(INDIRECT($A89)="",0,1)</f>
        <v>0</v>
      </c>
      <c r="D89">
        <f ca="1">IF(M02S02F15="Yes",1,IF(INDIRECT($A89)="",0,1))</f>
        <v>0</v>
      </c>
      <c r="E89">
        <f ca="1">INDIRECT(A89)</f>
        <v>0</v>
      </c>
    </row>
    <row r="91" spans="1:5" x14ac:dyDescent="0.25">
      <c r="C91" t="s">
        <v>86</v>
      </c>
      <c r="D91" t="s">
        <v>374</v>
      </c>
      <c r="E91">
        <f ca="1">COUNT(E93:E133)</f>
        <v>30</v>
      </c>
    </row>
    <row r="92" spans="1:5" x14ac:dyDescent="0.25">
      <c r="A92">
        <f ca="1">SUM(D93:D133)</f>
        <v>0</v>
      </c>
      <c r="B92" t="s">
        <v>1755</v>
      </c>
      <c r="C92">
        <f ca="1">COUNT(C93:C133)</f>
        <v>41</v>
      </c>
      <c r="D92">
        <f ca="1">COUNT(D93:D133)</f>
        <v>37</v>
      </c>
    </row>
    <row r="93" spans="1:5" x14ac:dyDescent="0.25">
      <c r="A93" t="s">
        <v>1579</v>
      </c>
      <c r="B93" t="str">
        <f t="shared" ref="B93:B97" ca="1" si="5">OFFSET(INDIRECT(A93),-1,0)</f>
        <v>Site Name*</v>
      </c>
      <c r="C93">
        <f t="shared" ref="C93:C97" ca="1" si="6">IF(INDIRECT($A93)="",0,1)</f>
        <v>0</v>
      </c>
      <c r="D93">
        <f ca="1">IF(INDIRECT($A93)="",0,1)</f>
        <v>0</v>
      </c>
      <c r="E93">
        <f ca="1">INDIRECT(A93)</f>
        <v>0</v>
      </c>
    </row>
    <row r="94" spans="1:5" x14ac:dyDescent="0.25">
      <c r="A94" t="s">
        <v>189</v>
      </c>
      <c r="B94" t="str">
        <f t="shared" ca="1" si="5"/>
        <v>Site Address*</v>
      </c>
      <c r="C94">
        <f t="shared" ca="1" si="6"/>
        <v>0</v>
      </c>
      <c r="D94">
        <f ca="1">IF(INDIRECT($A94)="",0,1)</f>
        <v>0</v>
      </c>
      <c r="E94">
        <f ca="1">INDIRECT(A94)</f>
        <v>0</v>
      </c>
    </row>
    <row r="95" spans="1:5" x14ac:dyDescent="0.25">
      <c r="A95" t="s">
        <v>190</v>
      </c>
      <c r="B95" t="str">
        <f t="shared" ca="1" si="5"/>
        <v>City*</v>
      </c>
      <c r="C95">
        <f t="shared" ca="1" si="6"/>
        <v>0</v>
      </c>
      <c r="D95">
        <f ca="1">IF(INDIRECT($A95)="",0,1)</f>
        <v>0</v>
      </c>
      <c r="E95">
        <f ca="1">INDIRECT(A95)</f>
        <v>0</v>
      </c>
    </row>
    <row r="96" spans="1:5" x14ac:dyDescent="0.25">
      <c r="A96" t="s">
        <v>191</v>
      </c>
      <c r="B96" t="str">
        <f t="shared" ca="1" si="5"/>
        <v>State*</v>
      </c>
      <c r="C96">
        <f t="shared" ca="1" si="6"/>
        <v>1</v>
      </c>
      <c r="E96" t="str">
        <f ca="1">INDIRECT(A96)</f>
        <v>MO</v>
      </c>
    </row>
    <row r="97" spans="1:5" x14ac:dyDescent="0.25">
      <c r="A97" t="s">
        <v>192</v>
      </c>
      <c r="B97" t="str">
        <f t="shared" ca="1" si="5"/>
        <v>Zip Code*</v>
      </c>
      <c r="C97">
        <f t="shared" ca="1" si="6"/>
        <v>0</v>
      </c>
      <c r="D97">
        <f ca="1">IF(INDIRECT($A97)="",0,1)</f>
        <v>0</v>
      </c>
      <c r="E97">
        <f ca="1">INDIRECT(A97)</f>
        <v>0</v>
      </c>
    </row>
    <row r="98" spans="1:5" x14ac:dyDescent="0.25">
      <c r="A98" t="s">
        <v>375</v>
      </c>
      <c r="B98" t="s">
        <v>1510</v>
      </c>
      <c r="C98">
        <f>IF(J34&gt;0,1,0)</f>
        <v>0</v>
      </c>
      <c r="D98">
        <f>IF(INCENTOTAL&gt;0,1,0)</f>
        <v>0</v>
      </c>
    </row>
    <row r="99" spans="1:5" x14ac:dyDescent="0.25">
      <c r="A99" t="s">
        <v>184</v>
      </c>
      <c r="B99" t="str">
        <f t="shared" ref="B99:B112" ca="1" si="7">OFFSET(INDIRECT(A99),-1,0)</f>
        <v>First Name*</v>
      </c>
      <c r="C99">
        <f t="shared" ref="C99:D106" ca="1" si="8">IF(INDIRECT($A99)="",0,1)</f>
        <v>0</v>
      </c>
      <c r="D99">
        <f t="shared" ca="1" si="8"/>
        <v>0</v>
      </c>
      <c r="E99">
        <f t="shared" ref="E99:E128" ca="1" si="9">INDIRECT(A99)</f>
        <v>0</v>
      </c>
    </row>
    <row r="100" spans="1:5" x14ac:dyDescent="0.25">
      <c r="A100" t="s">
        <v>185</v>
      </c>
      <c r="B100" t="str">
        <f t="shared" ca="1" si="7"/>
        <v>Last Name*</v>
      </c>
      <c r="C100">
        <f t="shared" ca="1" si="8"/>
        <v>0</v>
      </c>
      <c r="D100">
        <f t="shared" ca="1" si="8"/>
        <v>0</v>
      </c>
      <c r="E100">
        <f t="shared" ca="1" si="9"/>
        <v>0</v>
      </c>
    </row>
    <row r="101" spans="1:5" x14ac:dyDescent="0.25">
      <c r="A101" t="s">
        <v>186</v>
      </c>
      <c r="B101" t="str">
        <f t="shared" ca="1" si="7"/>
        <v>Title*</v>
      </c>
      <c r="C101">
        <f t="shared" ca="1" si="8"/>
        <v>0</v>
      </c>
      <c r="D101">
        <f t="shared" ca="1" si="8"/>
        <v>0</v>
      </c>
      <c r="E101">
        <f t="shared" ca="1" si="9"/>
        <v>0</v>
      </c>
    </row>
    <row r="102" spans="1:5" x14ac:dyDescent="0.25">
      <c r="A102" t="s">
        <v>187</v>
      </c>
      <c r="B102" t="str">
        <f t="shared" ca="1" si="7"/>
        <v>Phone*</v>
      </c>
      <c r="C102">
        <f t="shared" ca="1" si="8"/>
        <v>0</v>
      </c>
      <c r="D102">
        <f t="shared" ca="1" si="8"/>
        <v>0</v>
      </c>
      <c r="E102">
        <f t="shared" ca="1" si="9"/>
        <v>0</v>
      </c>
    </row>
    <row r="103" spans="1:5" x14ac:dyDescent="0.25">
      <c r="A103" t="s">
        <v>188</v>
      </c>
      <c r="B103" t="str">
        <f t="shared" ca="1" si="7"/>
        <v>Email*</v>
      </c>
      <c r="C103">
        <f t="shared" ca="1" si="8"/>
        <v>0</v>
      </c>
      <c r="D103">
        <f t="shared" ca="1" si="8"/>
        <v>0</v>
      </c>
      <c r="E103">
        <f t="shared" ca="1" si="9"/>
        <v>0</v>
      </c>
    </row>
    <row r="104" spans="1:5" x14ac:dyDescent="0.25">
      <c r="A104" t="s">
        <v>193</v>
      </c>
      <c r="B104" t="str">
        <f t="shared" ca="1" si="7"/>
        <v>Building Type*</v>
      </c>
      <c r="C104">
        <f t="shared" ca="1" si="8"/>
        <v>0</v>
      </c>
      <c r="D104">
        <f t="shared" ca="1" si="8"/>
        <v>0</v>
      </c>
      <c r="E104">
        <f t="shared" ca="1" si="9"/>
        <v>0</v>
      </c>
    </row>
    <row r="105" spans="1:5" x14ac:dyDescent="0.25">
      <c r="A105" t="s">
        <v>194</v>
      </c>
      <c r="B105" t="str">
        <f t="shared" ca="1" si="7"/>
        <v>Annual Operating Hours*</v>
      </c>
      <c r="C105">
        <f t="shared" ca="1" si="8"/>
        <v>0</v>
      </c>
      <c r="D105">
        <f t="shared" ca="1" si="8"/>
        <v>0</v>
      </c>
      <c r="E105">
        <f t="shared" ca="1" si="9"/>
        <v>0</v>
      </c>
    </row>
    <row r="106" spans="1:5" x14ac:dyDescent="0.25">
      <c r="A106" t="s">
        <v>195</v>
      </c>
      <c r="B106" t="str">
        <f t="shared" ca="1" si="7"/>
        <v>Space Conditioning Type*</v>
      </c>
      <c r="C106">
        <f ca="1">IF(INDIRECT($A106)="",0,1)</f>
        <v>0</v>
      </c>
      <c r="D106">
        <f t="shared" ca="1" si="8"/>
        <v>0</v>
      </c>
      <c r="E106">
        <f t="shared" ca="1" si="9"/>
        <v>0</v>
      </c>
    </row>
    <row r="107" spans="1:5" x14ac:dyDescent="0.25">
      <c r="A107" t="s">
        <v>196</v>
      </c>
      <c r="B107" t="str">
        <f t="shared" ca="1" si="7"/>
        <v>Electric Utility Rate* ($/kWh)</v>
      </c>
      <c r="C107">
        <f ca="1">IF(INDIRECT($A107)="",0,1)</f>
        <v>1</v>
      </c>
      <c r="E107">
        <f t="shared" ca="1" si="9"/>
        <v>8.8999999999999996E-2</v>
      </c>
    </row>
    <row r="108" spans="1:5" x14ac:dyDescent="0.25">
      <c r="A108" t="s">
        <v>197</v>
      </c>
      <c r="B108" t="str">
        <f t="shared" ca="1" si="7"/>
        <v>Account Number 1*</v>
      </c>
      <c r="C108">
        <f t="shared" ref="C108:D128" ca="1" si="10">IF(INDIRECT($A108)="",0,1)</f>
        <v>0</v>
      </c>
      <c r="D108">
        <f ca="1">IF(OR(INDIRECT($A108)&lt;&gt;"",INDIRECT($A109)&lt;&gt;""),1,0)</f>
        <v>0</v>
      </c>
      <c r="E108">
        <f t="shared" ca="1" si="9"/>
        <v>0</v>
      </c>
    </row>
    <row r="109" spans="1:5" x14ac:dyDescent="0.25">
      <c r="A109" t="s">
        <v>198</v>
      </c>
      <c r="B109" t="str">
        <f t="shared" ca="1" si="7"/>
        <v>Account Number 2</v>
      </c>
      <c r="C109">
        <f t="shared" ca="1" si="10"/>
        <v>0</v>
      </c>
      <c r="E109">
        <f t="shared" ca="1" si="9"/>
        <v>0</v>
      </c>
    </row>
    <row r="110" spans="1:5" x14ac:dyDescent="0.25">
      <c r="A110" t="s">
        <v>205</v>
      </c>
      <c r="B110" t="str">
        <f t="shared" ca="1" si="7"/>
        <v>Payment Type*</v>
      </c>
      <c r="C110">
        <f t="shared" ca="1" si="10"/>
        <v>0</v>
      </c>
      <c r="D110">
        <f t="shared" ca="1" si="10"/>
        <v>0</v>
      </c>
      <c r="E110">
        <f t="shared" ca="1" si="9"/>
        <v>0</v>
      </c>
    </row>
    <row r="111" spans="1:5" x14ac:dyDescent="0.25">
      <c r="A111" t="s">
        <v>215</v>
      </c>
      <c r="B111" t="str">
        <f t="shared" ca="1" si="7"/>
        <v>Tax Entity*</v>
      </c>
      <c r="C111">
        <f t="shared" ca="1" si="10"/>
        <v>0</v>
      </c>
      <c r="D111">
        <f t="shared" ca="1" si="10"/>
        <v>0</v>
      </c>
      <c r="E111">
        <f t="shared" ca="1" si="9"/>
        <v>0</v>
      </c>
    </row>
    <row r="112" spans="1:5" x14ac:dyDescent="0.25">
      <c r="A112" t="s">
        <v>216</v>
      </c>
      <c r="B112" t="str">
        <f t="shared" ca="1" si="7"/>
        <v>Federal Tax ID Number*</v>
      </c>
      <c r="C112">
        <f t="shared" ca="1" si="10"/>
        <v>0</v>
      </c>
      <c r="D112">
        <f t="shared" ca="1" si="10"/>
        <v>0</v>
      </c>
      <c r="E112">
        <f t="shared" ca="1" si="9"/>
        <v>0</v>
      </c>
    </row>
    <row r="113" spans="1:5" x14ac:dyDescent="0.25">
      <c r="A113" t="s">
        <v>353</v>
      </c>
      <c r="B113" t="str">
        <f ca="1">OFFSET(INDIRECT(A112),-1,0)</f>
        <v>Federal Tax ID Number*</v>
      </c>
      <c r="C113">
        <f t="shared" ca="1" si="10"/>
        <v>0</v>
      </c>
      <c r="D113">
        <f t="shared" ca="1" si="10"/>
        <v>0</v>
      </c>
      <c r="E113">
        <f t="shared" ca="1" si="9"/>
        <v>0</v>
      </c>
    </row>
    <row r="114" spans="1:5" x14ac:dyDescent="0.25">
      <c r="A114" t="s">
        <v>206</v>
      </c>
      <c r="B114" t="str">
        <f ca="1">OFFSET(INDIRECT(A114),-1,0)</f>
        <v>Payee Company Name*</v>
      </c>
      <c r="C114">
        <f t="shared" ca="1" si="10"/>
        <v>0</v>
      </c>
      <c r="D114">
        <f t="shared" ca="1" si="10"/>
        <v>0</v>
      </c>
      <c r="E114" t="str">
        <f t="shared" ca="1" si="9"/>
        <v/>
      </c>
    </row>
    <row r="115" spans="1:5" x14ac:dyDescent="0.25">
      <c r="A115" t="s">
        <v>207</v>
      </c>
      <c r="B115" t="str">
        <f ca="1">OFFSET(INDIRECT(A115),-1,0)</f>
        <v>Payee First Name*</v>
      </c>
      <c r="C115">
        <f t="shared" ca="1" si="10"/>
        <v>0</v>
      </c>
      <c r="D115">
        <f t="shared" ca="1" si="10"/>
        <v>0</v>
      </c>
      <c r="E115" t="str">
        <f t="shared" ca="1" si="9"/>
        <v/>
      </c>
    </row>
    <row r="116" spans="1:5" x14ac:dyDescent="0.25">
      <c r="A116" t="s">
        <v>208</v>
      </c>
      <c r="B116" t="str">
        <f ca="1">OFFSET(INDIRECT(A116),-1,0)</f>
        <v>Payee Last Name*</v>
      </c>
      <c r="C116">
        <f t="shared" ca="1" si="10"/>
        <v>0</v>
      </c>
      <c r="D116">
        <f t="shared" ca="1" si="10"/>
        <v>0</v>
      </c>
      <c r="E116" t="str">
        <f t="shared" ca="1" si="9"/>
        <v/>
      </c>
    </row>
    <row r="117" spans="1:5" x14ac:dyDescent="0.25">
      <c r="A117" t="s">
        <v>209</v>
      </c>
      <c r="B117" t="str">
        <f t="shared" ref="B117:B128" ca="1" si="11">OFFSET(INDIRECT(A117),-1,0)</f>
        <v>Phone Number*</v>
      </c>
      <c r="C117">
        <f t="shared" ca="1" si="10"/>
        <v>0</v>
      </c>
      <c r="D117">
        <f t="shared" ca="1" si="10"/>
        <v>0</v>
      </c>
      <c r="E117" t="str">
        <f t="shared" ca="1" si="9"/>
        <v/>
      </c>
    </row>
    <row r="118" spans="1:5" x14ac:dyDescent="0.25">
      <c r="A118" t="s">
        <v>210</v>
      </c>
      <c r="B118" t="str">
        <f t="shared" ca="1" si="11"/>
        <v>Email*</v>
      </c>
      <c r="C118">
        <f t="shared" ca="1" si="10"/>
        <v>0</v>
      </c>
      <c r="D118">
        <f t="shared" ca="1" si="10"/>
        <v>0</v>
      </c>
      <c r="E118" t="str">
        <f t="shared" ca="1" si="9"/>
        <v/>
      </c>
    </row>
    <row r="119" spans="1:5" x14ac:dyDescent="0.25">
      <c r="A119" t="s">
        <v>993</v>
      </c>
      <c r="B119" t="str">
        <f t="shared" ca="1" si="11"/>
        <v>Bill Credit Account*</v>
      </c>
      <c r="C119">
        <f t="shared" ca="1" si="10"/>
        <v>0</v>
      </c>
      <c r="D119">
        <f ca="1">IF(M02S04F01="",0,IF(M02S04F01&lt;&gt;"Site (Bill Credit)",1,IF(INDIRECT($A119)="",0,1)))</f>
        <v>0</v>
      </c>
      <c r="E119" t="str">
        <f t="shared" ca="1" si="9"/>
        <v/>
      </c>
    </row>
    <row r="120" spans="1:5" x14ac:dyDescent="0.25">
      <c r="A120" t="s">
        <v>211</v>
      </c>
      <c r="B120" t="str">
        <f t="shared" ca="1" si="11"/>
        <v>Mailing Address*</v>
      </c>
      <c r="C120">
        <f t="shared" ca="1" si="10"/>
        <v>0</v>
      </c>
      <c r="D120">
        <f t="shared" ca="1" si="10"/>
        <v>0</v>
      </c>
      <c r="E120" t="str">
        <f t="shared" ca="1" si="9"/>
        <v/>
      </c>
    </row>
    <row r="121" spans="1:5" x14ac:dyDescent="0.25">
      <c r="A121" t="s">
        <v>212</v>
      </c>
      <c r="B121" t="str">
        <f t="shared" ca="1" si="11"/>
        <v>City*</v>
      </c>
      <c r="C121">
        <f t="shared" ca="1" si="10"/>
        <v>0</v>
      </c>
      <c r="D121">
        <f t="shared" ca="1" si="10"/>
        <v>0</v>
      </c>
      <c r="E121" t="str">
        <f t="shared" ca="1" si="9"/>
        <v/>
      </c>
    </row>
    <row r="122" spans="1:5" x14ac:dyDescent="0.25">
      <c r="A122" t="s">
        <v>213</v>
      </c>
      <c r="B122" t="str">
        <f t="shared" ca="1" si="11"/>
        <v>State/ Province*</v>
      </c>
      <c r="C122">
        <f t="shared" ca="1" si="10"/>
        <v>0</v>
      </c>
      <c r="D122">
        <f t="shared" ca="1" si="10"/>
        <v>0</v>
      </c>
      <c r="E122">
        <f t="shared" ca="1" si="9"/>
        <v>0</v>
      </c>
    </row>
    <row r="123" spans="1:5" x14ac:dyDescent="0.25">
      <c r="A123" t="s">
        <v>214</v>
      </c>
      <c r="B123" t="str">
        <f t="shared" ca="1" si="11"/>
        <v>Zip/ Postal Code*</v>
      </c>
      <c r="C123">
        <f t="shared" ca="1" si="10"/>
        <v>0</v>
      </c>
      <c r="D123">
        <f t="shared" ca="1" si="10"/>
        <v>0</v>
      </c>
      <c r="E123" t="str">
        <f t="shared" ca="1" si="9"/>
        <v/>
      </c>
    </row>
    <row r="124" spans="1:5" x14ac:dyDescent="0.25">
      <c r="A124" t="s">
        <v>2039</v>
      </c>
      <c r="B124" t="str">
        <f t="shared" ca="1" si="11"/>
        <v>Legal Company Name*</v>
      </c>
      <c r="C124">
        <f t="shared" ca="1" si="10"/>
        <v>0</v>
      </c>
      <c r="D124">
        <f t="shared" ca="1" si="10"/>
        <v>0</v>
      </c>
      <c r="E124">
        <f t="shared" ca="1" si="9"/>
        <v>0</v>
      </c>
    </row>
    <row r="125" spans="1:5" x14ac:dyDescent="0.25">
      <c r="A125" t="s">
        <v>2040</v>
      </c>
      <c r="B125" t="str">
        <f t="shared" ca="1" si="11"/>
        <v>Mailing Address*</v>
      </c>
      <c r="C125">
        <f t="shared" ca="1" si="10"/>
        <v>0</v>
      </c>
      <c r="D125">
        <f t="shared" ca="1" si="10"/>
        <v>0</v>
      </c>
      <c r="E125">
        <f t="shared" ca="1" si="9"/>
        <v>0</v>
      </c>
    </row>
    <row r="126" spans="1:5" x14ac:dyDescent="0.25">
      <c r="A126" t="s">
        <v>2041</v>
      </c>
      <c r="B126" t="str">
        <f t="shared" ca="1" si="11"/>
        <v>City*</v>
      </c>
      <c r="C126">
        <f t="shared" ca="1" si="10"/>
        <v>0</v>
      </c>
      <c r="D126">
        <f t="shared" ca="1" si="10"/>
        <v>0</v>
      </c>
      <c r="E126">
        <f t="shared" ca="1" si="9"/>
        <v>0</v>
      </c>
    </row>
    <row r="127" spans="1:5" x14ac:dyDescent="0.25">
      <c r="A127" t="s">
        <v>2042</v>
      </c>
      <c r="B127" t="str">
        <f t="shared" ca="1" si="11"/>
        <v>State/ Province*</v>
      </c>
      <c r="C127">
        <f t="shared" ca="1" si="10"/>
        <v>0</v>
      </c>
      <c r="D127">
        <f t="shared" ca="1" si="10"/>
        <v>0</v>
      </c>
      <c r="E127">
        <f t="shared" ca="1" si="9"/>
        <v>0</v>
      </c>
    </row>
    <row r="128" spans="1:5" x14ac:dyDescent="0.25">
      <c r="A128" t="s">
        <v>2043</v>
      </c>
      <c r="B128" t="str">
        <f t="shared" ca="1" si="11"/>
        <v>Zip/ Postal Code*</v>
      </c>
      <c r="C128">
        <f t="shared" ca="1" si="10"/>
        <v>0</v>
      </c>
      <c r="D128">
        <f t="shared" ca="1" si="10"/>
        <v>0</v>
      </c>
      <c r="E128">
        <f t="shared" ca="1" si="9"/>
        <v>0</v>
      </c>
    </row>
    <row r="129" spans="1:5" x14ac:dyDescent="0.25">
      <c r="A129" t="s">
        <v>834</v>
      </c>
      <c r="B129" t="str">
        <f ca="1">OFFSET(INDIRECT(A129),-1,0)</f>
        <v>Electronic Signature (Account Owner or Authorized Representative)*</v>
      </c>
      <c r="C129">
        <f t="shared" ref="C129:D132" ca="1" si="12">IF(INDIRECT($A129)="",0,1)</f>
        <v>0</v>
      </c>
      <c r="D129">
        <f t="shared" ca="1" si="12"/>
        <v>0</v>
      </c>
      <c r="E129">
        <f ca="1">INDIRECT(A129)</f>
        <v>0</v>
      </c>
    </row>
    <row r="130" spans="1:5" x14ac:dyDescent="0.25">
      <c r="A130" t="s">
        <v>835</v>
      </c>
      <c r="B130" t="str">
        <f ca="1">OFFSET(INDIRECT(A130),-1,0)</f>
        <v>Signatory Title*</v>
      </c>
      <c r="C130">
        <f t="shared" ca="1" si="12"/>
        <v>0</v>
      </c>
      <c r="D130">
        <f t="shared" ca="1" si="12"/>
        <v>0</v>
      </c>
      <c r="E130">
        <f ca="1">INDIRECT(A130)</f>
        <v>0</v>
      </c>
    </row>
    <row r="131" spans="1:5" x14ac:dyDescent="0.25">
      <c r="A131" t="s">
        <v>836</v>
      </c>
      <c r="B131" t="str">
        <f ca="1">OFFSET(INDIRECT(A131),-1,0)</f>
        <v>Date Signed*</v>
      </c>
      <c r="C131">
        <f t="shared" ca="1" si="12"/>
        <v>0</v>
      </c>
      <c r="D131">
        <f t="shared" ca="1" si="12"/>
        <v>0</v>
      </c>
      <c r="E131">
        <f ca="1">INDIRECT(A131)</f>
        <v>0</v>
      </c>
    </row>
    <row r="132" spans="1:5" x14ac:dyDescent="0.25">
      <c r="A132" t="s">
        <v>1850</v>
      </c>
      <c r="B132" t="str">
        <f ca="1">OFFSET(INDIRECT(A132),-2,0)</f>
        <v>How Did You Hear About the Program?*</v>
      </c>
      <c r="C132">
        <f t="shared" ca="1" si="12"/>
        <v>0</v>
      </c>
      <c r="D132">
        <f t="shared" ca="1" si="12"/>
        <v>0</v>
      </c>
      <c r="E132">
        <f ca="1">INDIRECT(A132)</f>
        <v>0</v>
      </c>
    </row>
    <row r="133" spans="1:5" x14ac:dyDescent="0.25">
      <c r="A133" t="s">
        <v>1851</v>
      </c>
      <c r="B133" t="s">
        <v>1852</v>
      </c>
      <c r="C133">
        <f ca="1">IF(INDIRECT($A133)="",0,1)</f>
        <v>0</v>
      </c>
      <c r="E133">
        <f ca="1">INDIRECT(A133)</f>
        <v>0</v>
      </c>
    </row>
    <row r="134" spans="1:5" x14ac:dyDescent="0.25">
      <c r="A134" t="s">
        <v>2071</v>
      </c>
      <c r="B134" t="s">
        <v>2073</v>
      </c>
      <c r="C134" s="32" t="b">
        <v>0</v>
      </c>
    </row>
    <row r="135" spans="1:5" x14ac:dyDescent="0.25">
      <c r="A135" t="s">
        <v>2072</v>
      </c>
      <c r="B135" t="s">
        <v>2074</v>
      </c>
      <c r="C135" s="32" t="b">
        <v>0</v>
      </c>
    </row>
  </sheetData>
  <sheetProtection algorithmName="SHA-512" hashValue="Ey/DzTcEJqCR0Lykctzj8Emc+mriOYFYLkwmc7roWTp9y1XuaaahRgR+VMwiY5paJEofhStqnu3D5SpfryKlRg==" saltValue="h+AB2CWkCeT+pbDGHjxn1w==" spinCount="100000" sheet="1" objects="1" scenarios="1" selectLockedCells="1"/>
  <phoneticPr fontId="128" type="noConversion"/>
  <hyperlinks>
    <hyperlink ref="E26" location="'M04-S01'!A1" display="'M04-S01'!A1" xr:uid="{E81F91AC-3516-405C-8AC0-9B9C1679D7BB}"/>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F41C-3CCD-4B3E-A7D8-4AC622A3D5D9}">
  <sheetPr codeName="Sheet15"/>
  <dimension ref="A1:AT205"/>
  <sheetViews>
    <sheetView showGridLines="0" showRowColHeaders="0" zoomScale="85" zoomScaleNormal="85" workbookViewId="0">
      <selection activeCell="J20" sqref="J20:Q21"/>
    </sheetView>
  </sheetViews>
  <sheetFormatPr defaultColWidth="0" defaultRowHeight="15.95" customHeight="1" zeroHeight="1" x14ac:dyDescent="0.25"/>
  <cols>
    <col min="1" max="45" width="4.7109375" customWidth="1"/>
    <col min="46" max="46" width="4.7109375" hidden="1" customWidth="1"/>
    <col min="47" max="16384" width="9.140625" hidden="1"/>
  </cols>
  <sheetData>
    <row r="1" spans="2:44" ht="15.95" customHeight="1" x14ac:dyDescent="0.3">
      <c r="Q1" s="536" t="e">
        <f>IF(OR(#REF!&lt;&gt;0,#REF!&lt;&gt;0,#REF!&lt;&gt;0,#REF!&lt;&gt;0,#REF!&lt;&gt;0),"P","")</f>
        <v>#REF!</v>
      </c>
      <c r="R1" s="536"/>
      <c r="U1" s="537" t="e">
        <f>IF(OR(#REF!&lt;&gt;0,#REF!&lt;&gt;0,#REF!&lt;&gt;0,#REF!&lt;&gt;0),"P","")</f>
        <v>#REF!</v>
      </c>
      <c r="V1" s="537"/>
      <c r="Y1" s="537" t="e">
        <f>IF(OR(#REF!&lt;&gt;0,#REF!&lt;&gt;0,#REF!&lt;&gt;0,#REF!&lt;&gt;0,#REF!&lt;&gt;0,#REF!&lt;&gt;0,#REF!&lt;&gt;0),"P","")</f>
        <v>#REF!</v>
      </c>
      <c r="Z1" s="537"/>
      <c r="AH1" s="559" t="s">
        <v>370</v>
      </c>
      <c r="AI1" s="560"/>
      <c r="AJ1" s="560"/>
      <c r="AK1" s="560"/>
      <c r="AL1" s="561" t="s">
        <v>723</v>
      </c>
      <c r="AM1" s="561"/>
      <c r="AN1" s="561"/>
      <c r="AO1" s="561"/>
      <c r="AP1" s="561"/>
      <c r="AQ1" s="553" t="s">
        <v>373</v>
      </c>
      <c r="AR1" s="554"/>
    </row>
    <row r="2" spans="2:44" ht="15.95" customHeight="1" x14ac:dyDescent="0.25">
      <c r="AH2" s="547" t="str">
        <f>INCENSTATUS</f>
        <v>---</v>
      </c>
      <c r="AI2" s="548"/>
      <c r="AJ2" s="548"/>
      <c r="AK2" s="548"/>
      <c r="AL2" s="551" t="str">
        <f ca="1">PROJSTATUS</f>
        <v>Enter Measures</v>
      </c>
      <c r="AM2" s="551"/>
      <c r="AN2" s="551"/>
      <c r="AO2" s="551"/>
      <c r="AP2" s="551"/>
      <c r="AQ2" s="555">
        <f ca="1">PROGRESSSTATUS</f>
        <v>0</v>
      </c>
      <c r="AR2" s="556"/>
    </row>
    <row r="3" spans="2:44" ht="15.95" customHeight="1" x14ac:dyDescent="0.25">
      <c r="AH3" s="549"/>
      <c r="AI3" s="550"/>
      <c r="AJ3" s="550"/>
      <c r="AK3" s="550"/>
      <c r="AL3" s="552"/>
      <c r="AM3" s="552"/>
      <c r="AN3" s="552"/>
      <c r="AO3" s="552"/>
      <c r="AP3" s="552"/>
      <c r="AQ3" s="557"/>
      <c r="AR3" s="558"/>
    </row>
    <row r="4" spans="2:44" ht="15.95" customHeight="1" x14ac:dyDescent="0.25"/>
    <row r="5" spans="2:44" ht="15.95" customHeight="1" x14ac:dyDescent="0.25"/>
    <row r="6" spans="2:44" ht="15.95" customHeight="1" x14ac:dyDescent="0.25">
      <c r="C6" s="32"/>
    </row>
    <row r="7" spans="2:44" ht="15.95" customHeight="1" x14ac:dyDescent="0.25"/>
    <row r="8" spans="2:44" ht="15.95" customHeight="1" x14ac:dyDescent="0.25"/>
    <row r="9" spans="2:44" ht="15.95" customHeight="1" x14ac:dyDescent="0.25">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x14ac:dyDescent="0.3">
      <c r="B10" s="59"/>
      <c r="C10" s="59"/>
      <c r="D10" s="59"/>
      <c r="E10" s="59"/>
      <c r="G10" s="282"/>
      <c r="H10" s="282"/>
      <c r="I10" s="282"/>
      <c r="J10" s="282"/>
      <c r="K10" s="538" t="s">
        <v>1562</v>
      </c>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282"/>
      <c r="AK10" s="282"/>
      <c r="AL10" s="282"/>
      <c r="AM10" s="282"/>
      <c r="AN10" s="282"/>
      <c r="AO10" s="59"/>
      <c r="AP10" s="59"/>
      <c r="AQ10" s="59"/>
      <c r="AR10" s="59"/>
    </row>
    <row r="11" spans="2:44" ht="15.95" customHeight="1" x14ac:dyDescent="0.25">
      <c r="B11" s="59"/>
      <c r="C11" s="59"/>
      <c r="D11" s="59"/>
      <c r="E11" s="59"/>
      <c r="H11" s="230"/>
      <c r="I11" s="230"/>
      <c r="J11" s="230"/>
      <c r="K11" s="230"/>
      <c r="L11" s="230"/>
      <c r="M11" s="539"/>
      <c r="N11" s="539"/>
      <c r="O11" s="539"/>
      <c r="P11" s="539"/>
      <c r="Q11" s="539"/>
      <c r="R11" s="539"/>
      <c r="S11" s="539"/>
      <c r="T11" s="539"/>
      <c r="U11" s="539"/>
      <c r="V11" s="539"/>
      <c r="W11" s="539"/>
      <c r="X11" s="539"/>
      <c r="Y11" s="539"/>
      <c r="Z11" s="539"/>
      <c r="AA11" s="539"/>
      <c r="AB11" s="539"/>
      <c r="AC11" s="539"/>
      <c r="AD11" s="539"/>
      <c r="AE11" s="539"/>
      <c r="AF11" s="539"/>
      <c r="AG11" s="539"/>
      <c r="AH11" s="230"/>
      <c r="AI11" s="230"/>
      <c r="AJ11" s="230"/>
      <c r="AK11" s="230"/>
      <c r="AL11" s="230"/>
      <c r="AM11" s="230"/>
      <c r="AN11" s="230"/>
      <c r="AO11" s="231"/>
      <c r="AP11" s="231"/>
      <c r="AQ11" s="59"/>
      <c r="AR11" s="59"/>
    </row>
    <row r="12" spans="2:44" ht="15.95" customHeight="1" x14ac:dyDescent="0.25">
      <c r="B12" s="59"/>
      <c r="C12" s="59"/>
      <c r="D12" s="59"/>
      <c r="E12" s="59"/>
      <c r="F12" s="230"/>
      <c r="G12" s="230"/>
      <c r="H12" s="230"/>
      <c r="I12" s="230"/>
      <c r="J12" s="230"/>
      <c r="K12" s="230"/>
      <c r="L12" s="230"/>
      <c r="M12" s="539"/>
      <c r="N12" s="539"/>
      <c r="O12" s="539"/>
      <c r="P12" s="539"/>
      <c r="Q12" s="539"/>
      <c r="R12" s="539"/>
      <c r="S12" s="539"/>
      <c r="T12" s="539"/>
      <c r="U12" s="539"/>
      <c r="V12" s="539"/>
      <c r="W12" s="539"/>
      <c r="X12" s="539"/>
      <c r="Y12" s="539"/>
      <c r="Z12" s="539"/>
      <c r="AA12" s="539"/>
      <c r="AB12" s="539"/>
      <c r="AC12" s="539"/>
      <c r="AD12" s="539"/>
      <c r="AE12" s="539"/>
      <c r="AF12" s="539"/>
      <c r="AG12" s="539"/>
      <c r="AH12" s="230"/>
      <c r="AI12" s="230"/>
      <c r="AJ12" s="230"/>
      <c r="AK12" s="230"/>
      <c r="AL12" s="230"/>
      <c r="AM12" s="230"/>
      <c r="AN12" s="230"/>
      <c r="AO12" s="231"/>
      <c r="AP12" s="231"/>
      <c r="AQ12" s="59"/>
      <c r="AR12" s="59"/>
    </row>
    <row r="13" spans="2:44" ht="15.95" customHeight="1" thickBot="1" x14ac:dyDescent="0.3">
      <c r="B13" s="59"/>
      <c r="C13" s="59"/>
      <c r="D13" s="59"/>
      <c r="E13" s="59"/>
      <c r="F13" s="230"/>
      <c r="G13" s="230"/>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30"/>
      <c r="AN13" s="230"/>
      <c r="AO13" s="231"/>
      <c r="AP13" s="231"/>
      <c r="AQ13" s="59"/>
      <c r="AR13" s="59"/>
    </row>
    <row r="14" spans="2:44" ht="15.95" customHeight="1" thickBot="1" x14ac:dyDescent="0.3">
      <c r="B14" s="59"/>
      <c r="C14" s="59"/>
      <c r="J14" s="274"/>
      <c r="K14" s="274"/>
      <c r="L14" s="252"/>
      <c r="M14" s="252"/>
      <c r="N14" s="581" t="s">
        <v>1563</v>
      </c>
      <c r="O14" s="582"/>
      <c r="P14" s="582"/>
      <c r="Q14" s="582"/>
      <c r="R14" s="582"/>
      <c r="S14" s="582"/>
      <c r="T14" s="582"/>
      <c r="U14" s="582"/>
      <c r="V14" s="291"/>
      <c r="X14" s="585" t="s">
        <v>1564</v>
      </c>
      <c r="Y14" s="585"/>
      <c r="Z14" s="585"/>
      <c r="AA14" s="585"/>
      <c r="AB14" s="585"/>
      <c r="AC14" s="585"/>
      <c r="AD14" s="585"/>
      <c r="AE14" s="586"/>
      <c r="AF14" s="252"/>
      <c r="AG14" s="252"/>
      <c r="AJ14" s="252"/>
      <c r="AK14" s="252"/>
      <c r="AL14" s="252"/>
      <c r="AM14" s="230"/>
      <c r="AN14" s="230"/>
      <c r="AO14" s="231"/>
      <c r="AP14" s="231"/>
      <c r="AQ14" s="59"/>
      <c r="AR14" s="59"/>
    </row>
    <row r="15" spans="2:44" ht="15.95" customHeight="1" x14ac:dyDescent="0.25">
      <c r="B15" s="59"/>
      <c r="C15" s="59"/>
      <c r="J15" s="274"/>
      <c r="K15" s="274"/>
      <c r="L15" s="252"/>
      <c r="M15" s="252"/>
      <c r="N15" s="569">
        <f>COSTTOTALALL</f>
        <v>0</v>
      </c>
      <c r="O15" s="570"/>
      <c r="P15" s="570"/>
      <c r="Q15" s="570"/>
      <c r="R15" s="570"/>
      <c r="S15" s="570"/>
      <c r="T15" s="570"/>
      <c r="U15" s="570"/>
      <c r="V15" s="292"/>
      <c r="X15" s="576">
        <f>IFERROR(COSTTOTALALL-INCENSTATUS,0)</f>
        <v>0</v>
      </c>
      <c r="Y15" s="576"/>
      <c r="Z15" s="576"/>
      <c r="AA15" s="576"/>
      <c r="AB15" s="576"/>
      <c r="AC15" s="576"/>
      <c r="AD15" s="576"/>
      <c r="AE15" s="577"/>
      <c r="AJ15" s="252"/>
      <c r="AK15" s="252"/>
      <c r="AL15" s="252"/>
      <c r="AM15" s="230"/>
      <c r="AN15" s="230"/>
      <c r="AO15" s="231"/>
      <c r="AP15" s="231"/>
      <c r="AQ15" s="59"/>
      <c r="AR15" s="59"/>
    </row>
    <row r="16" spans="2:44" ht="15.95" customHeight="1" thickBot="1" x14ac:dyDescent="0.3">
      <c r="B16" s="59"/>
      <c r="C16" s="232"/>
      <c r="J16" s="274"/>
      <c r="K16" s="274"/>
      <c r="L16" s="286"/>
      <c r="M16" s="286"/>
      <c r="N16" s="572"/>
      <c r="O16" s="573"/>
      <c r="P16" s="573"/>
      <c r="Q16" s="573"/>
      <c r="R16" s="573"/>
      <c r="S16" s="573"/>
      <c r="T16" s="573"/>
      <c r="U16" s="573"/>
      <c r="V16" s="292"/>
      <c r="W16" s="292"/>
      <c r="X16" s="579"/>
      <c r="Y16" s="579"/>
      <c r="Z16" s="579"/>
      <c r="AA16" s="579"/>
      <c r="AB16" s="579"/>
      <c r="AC16" s="579"/>
      <c r="AD16" s="579"/>
      <c r="AE16" s="580"/>
      <c r="AJ16" s="59"/>
      <c r="AK16" s="59"/>
      <c r="AL16" s="59"/>
      <c r="AM16" s="59"/>
      <c r="AN16" s="59"/>
      <c r="AO16" s="59"/>
      <c r="AP16" s="59"/>
      <c r="AQ16" s="59"/>
      <c r="AR16" s="59"/>
    </row>
    <row r="17" spans="2:44" ht="15.95" customHeight="1" x14ac:dyDescent="0.25">
      <c r="B17" s="59"/>
      <c r="C17" s="59"/>
      <c r="J17" s="287"/>
      <c r="K17" s="287"/>
      <c r="L17" s="288"/>
      <c r="M17" s="288"/>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59"/>
      <c r="AK17" s="59"/>
      <c r="AL17" s="59"/>
      <c r="AM17" s="59"/>
      <c r="AN17" s="59"/>
      <c r="AO17" s="59"/>
      <c r="AP17" s="59"/>
      <c r="AQ17" s="59"/>
      <c r="AR17" s="59"/>
    </row>
    <row r="18" spans="2:44" ht="15.95" customHeight="1" thickBot="1" x14ac:dyDescent="0.3">
      <c r="B18" s="59"/>
      <c r="C18" s="234"/>
      <c r="L18" s="229"/>
      <c r="M18" s="229"/>
      <c r="N18" s="229"/>
      <c r="O18" s="602" t="s">
        <v>1576</v>
      </c>
      <c r="P18" s="602"/>
      <c r="Q18" s="602"/>
      <c r="R18" s="602"/>
      <c r="S18" s="602"/>
      <c r="T18" s="602"/>
      <c r="U18" s="602"/>
      <c r="V18" s="602"/>
      <c r="W18" s="602"/>
      <c r="X18" s="602"/>
      <c r="Y18" s="602"/>
      <c r="Z18" s="602"/>
      <c r="AA18" s="602"/>
      <c r="AB18" s="602"/>
      <c r="AC18" s="602"/>
      <c r="AD18" s="602"/>
      <c r="AE18" s="59"/>
      <c r="AF18" s="59"/>
      <c r="AG18" s="59"/>
      <c r="AH18" s="59"/>
      <c r="AI18" s="59"/>
      <c r="AJ18" s="59"/>
      <c r="AK18" s="59"/>
      <c r="AL18" s="59"/>
      <c r="AM18" s="59"/>
      <c r="AN18" s="59"/>
      <c r="AO18" s="59"/>
      <c r="AP18" s="59"/>
      <c r="AQ18" s="59"/>
      <c r="AR18" s="59"/>
    </row>
    <row r="19" spans="2:44" ht="15.95" customHeight="1" thickBot="1" x14ac:dyDescent="0.3">
      <c r="B19" s="59"/>
      <c r="C19" s="232"/>
      <c r="J19" s="587" t="s">
        <v>1565</v>
      </c>
      <c r="K19" s="588"/>
      <c r="L19" s="588"/>
      <c r="M19" s="588"/>
      <c r="N19" s="588"/>
      <c r="O19" s="588"/>
      <c r="P19" s="588"/>
      <c r="Q19" s="589"/>
      <c r="S19" s="587" t="s">
        <v>1566</v>
      </c>
      <c r="T19" s="588"/>
      <c r="U19" s="588"/>
      <c r="V19" s="588"/>
      <c r="W19" s="588"/>
      <c r="X19" s="588"/>
      <c r="Y19" s="588"/>
      <c r="Z19" s="589"/>
      <c r="AA19" s="289"/>
      <c r="AB19" s="587" t="s">
        <v>1567</v>
      </c>
      <c r="AC19" s="588"/>
      <c r="AD19" s="588"/>
      <c r="AE19" s="588"/>
      <c r="AF19" s="588"/>
      <c r="AG19" s="588"/>
      <c r="AH19" s="588"/>
      <c r="AI19" s="589"/>
      <c r="AJ19" s="59"/>
      <c r="AK19" s="59"/>
      <c r="AL19" s="59"/>
      <c r="AM19" s="59"/>
      <c r="AN19" s="59"/>
      <c r="AO19" s="59"/>
      <c r="AP19" s="59"/>
      <c r="AQ19" s="59"/>
      <c r="AR19" s="59"/>
    </row>
    <row r="20" spans="2:44" ht="15.95" customHeight="1" x14ac:dyDescent="0.25">
      <c r="B20" s="59"/>
      <c r="C20" s="59"/>
      <c r="J20" s="590">
        <v>0.12</v>
      </c>
      <c r="K20" s="591"/>
      <c r="L20" s="591"/>
      <c r="M20" s="591"/>
      <c r="N20" s="591"/>
      <c r="O20" s="591"/>
      <c r="P20" s="591"/>
      <c r="Q20" s="592"/>
      <c r="S20" s="590">
        <v>0.4</v>
      </c>
      <c r="T20" s="591"/>
      <c r="U20" s="591"/>
      <c r="V20" s="591"/>
      <c r="W20" s="591"/>
      <c r="X20" s="591"/>
      <c r="Y20" s="591"/>
      <c r="Z20" s="592"/>
      <c r="AA20" s="289"/>
      <c r="AB20" s="596">
        <v>48</v>
      </c>
      <c r="AC20" s="597"/>
      <c r="AD20" s="597"/>
      <c r="AE20" s="597"/>
      <c r="AF20" s="597"/>
      <c r="AG20" s="597"/>
      <c r="AH20" s="597"/>
      <c r="AI20" s="598"/>
      <c r="AJ20" s="59"/>
      <c r="AK20" s="59"/>
      <c r="AL20" s="59"/>
      <c r="AM20" s="59"/>
      <c r="AN20" s="59"/>
      <c r="AO20" s="59"/>
      <c r="AP20" s="59"/>
      <c r="AQ20" s="59"/>
      <c r="AR20" s="59"/>
    </row>
    <row r="21" spans="2:44" ht="15.95" customHeight="1" thickBot="1" x14ac:dyDescent="0.45">
      <c r="B21" s="59"/>
      <c r="C21" s="232"/>
      <c r="J21" s="593"/>
      <c r="K21" s="594"/>
      <c r="L21" s="594"/>
      <c r="M21" s="594"/>
      <c r="N21" s="594"/>
      <c r="O21" s="594"/>
      <c r="P21" s="594"/>
      <c r="Q21" s="595"/>
      <c r="S21" s="593"/>
      <c r="T21" s="594"/>
      <c r="U21" s="594"/>
      <c r="V21" s="594"/>
      <c r="W21" s="594"/>
      <c r="X21" s="594"/>
      <c r="Y21" s="594"/>
      <c r="Z21" s="595"/>
      <c r="AA21" s="290"/>
      <c r="AB21" s="599"/>
      <c r="AC21" s="600"/>
      <c r="AD21" s="600"/>
      <c r="AE21" s="600"/>
      <c r="AF21" s="600"/>
      <c r="AG21" s="600"/>
      <c r="AH21" s="600"/>
      <c r="AI21" s="601"/>
      <c r="AJ21" s="277"/>
      <c r="AK21" s="59"/>
      <c r="AL21" s="59"/>
      <c r="AM21" s="59"/>
      <c r="AN21" s="59"/>
      <c r="AO21" s="59"/>
      <c r="AP21" s="59"/>
      <c r="AQ21" s="59"/>
      <c r="AR21" s="59"/>
    </row>
    <row r="22" spans="2:44" ht="15.95" customHeight="1" thickBot="1" x14ac:dyDescent="0.45">
      <c r="B22" s="59"/>
      <c r="C22" s="59"/>
      <c r="AA22" s="290"/>
      <c r="AJ22" s="277"/>
      <c r="AK22" s="59"/>
      <c r="AL22" s="59"/>
      <c r="AM22" s="59"/>
      <c r="AN22" s="59"/>
      <c r="AO22" s="59"/>
      <c r="AP22" s="59"/>
      <c r="AQ22" s="59"/>
      <c r="AR22" s="59"/>
    </row>
    <row r="23" spans="2:44" ht="15.95" customHeight="1" thickBot="1" x14ac:dyDescent="0.3">
      <c r="B23" s="59"/>
      <c r="C23" s="232"/>
      <c r="N23" s="563" t="s">
        <v>1568</v>
      </c>
      <c r="O23" s="564"/>
      <c r="P23" s="564"/>
      <c r="Q23" s="564"/>
      <c r="R23" s="564"/>
      <c r="S23" s="564"/>
      <c r="T23" s="564"/>
      <c r="U23" s="565"/>
      <c r="X23" s="566" t="s">
        <v>1569</v>
      </c>
      <c r="Y23" s="567"/>
      <c r="Z23" s="567"/>
      <c r="AA23" s="567"/>
      <c r="AB23" s="567"/>
      <c r="AC23" s="567"/>
      <c r="AD23" s="567"/>
      <c r="AE23" s="568"/>
      <c r="AJ23" s="278"/>
      <c r="AK23" s="59"/>
      <c r="AL23" s="59"/>
      <c r="AM23" s="59"/>
      <c r="AN23" s="59"/>
      <c r="AO23" s="59"/>
      <c r="AP23" s="59"/>
      <c r="AQ23" s="59"/>
      <c r="AR23" s="59"/>
    </row>
    <row r="24" spans="2:44" ht="15.95" customHeight="1" x14ac:dyDescent="0.25">
      <c r="B24" s="59"/>
      <c r="C24" s="59"/>
      <c r="N24" s="569">
        <f>IFERROR(PMT(J20/12,AB20,-(N15*(1-S20))),0)</f>
        <v>0</v>
      </c>
      <c r="O24" s="570"/>
      <c r="P24" s="570"/>
      <c r="Q24" s="570"/>
      <c r="R24" s="570"/>
      <c r="S24" s="570"/>
      <c r="T24" s="570"/>
      <c r="U24" s="571"/>
      <c r="X24" s="575">
        <f>IFERROR(PMT(J20/12,AB20,-(X15*(1-S20))),0)</f>
        <v>0</v>
      </c>
      <c r="Y24" s="576"/>
      <c r="Z24" s="576"/>
      <c r="AA24" s="576"/>
      <c r="AB24" s="576"/>
      <c r="AC24" s="576"/>
      <c r="AD24" s="576"/>
      <c r="AE24" s="577"/>
      <c r="AJ24" s="234"/>
      <c r="AK24" s="59"/>
      <c r="AL24" s="59"/>
      <c r="AM24" s="59"/>
      <c r="AN24" s="59"/>
      <c r="AO24" s="59"/>
      <c r="AP24" s="59"/>
      <c r="AQ24" s="59"/>
      <c r="AR24" s="59"/>
    </row>
    <row r="25" spans="2:44" ht="15.95" customHeight="1" thickBot="1" x14ac:dyDescent="0.3">
      <c r="B25" s="59"/>
      <c r="C25" s="232"/>
      <c r="N25" s="572"/>
      <c r="O25" s="573"/>
      <c r="P25" s="573"/>
      <c r="Q25" s="573"/>
      <c r="R25" s="573"/>
      <c r="S25" s="573"/>
      <c r="T25" s="573"/>
      <c r="U25" s="574"/>
      <c r="X25" s="578"/>
      <c r="Y25" s="579"/>
      <c r="Z25" s="579"/>
      <c r="AA25" s="579"/>
      <c r="AB25" s="579"/>
      <c r="AC25" s="579"/>
      <c r="AD25" s="579"/>
      <c r="AE25" s="580"/>
      <c r="AK25" s="59"/>
      <c r="AL25" s="59"/>
      <c r="AM25" s="59"/>
      <c r="AN25" s="59"/>
      <c r="AO25" s="59"/>
      <c r="AP25" s="59"/>
      <c r="AQ25" s="59"/>
      <c r="AR25" s="59"/>
    </row>
    <row r="26" spans="2:44" ht="15.95" customHeight="1" thickBot="1" x14ac:dyDescent="0.3">
      <c r="B26" s="59"/>
      <c r="C26" s="59"/>
      <c r="AA26" s="287"/>
      <c r="AB26" s="287"/>
      <c r="AD26" s="287"/>
      <c r="AE26" s="287"/>
      <c r="AF26" s="287"/>
      <c r="AG26" s="287"/>
      <c r="AJ26" s="237"/>
      <c r="AK26" s="59"/>
      <c r="AL26" s="59"/>
      <c r="AM26" s="59"/>
      <c r="AN26" s="59"/>
      <c r="AO26" s="59"/>
      <c r="AP26" s="59"/>
      <c r="AQ26" s="59"/>
      <c r="AR26" s="59"/>
    </row>
    <row r="27" spans="2:44" ht="15.95" customHeight="1" thickBot="1" x14ac:dyDescent="0.3">
      <c r="B27" s="59"/>
      <c r="C27" s="232"/>
      <c r="N27" s="581" t="s">
        <v>1570</v>
      </c>
      <c r="O27" s="582"/>
      <c r="P27" s="582"/>
      <c r="Q27" s="582"/>
      <c r="R27" s="582"/>
      <c r="S27" s="582"/>
      <c r="T27" s="582"/>
      <c r="U27" s="583"/>
      <c r="X27" s="584" t="s">
        <v>1571</v>
      </c>
      <c r="Y27" s="585"/>
      <c r="Z27" s="585"/>
      <c r="AA27" s="585"/>
      <c r="AB27" s="585"/>
      <c r="AC27" s="585"/>
      <c r="AD27" s="585"/>
      <c r="AE27" s="586"/>
      <c r="AJ27" s="276"/>
      <c r="AK27" s="59"/>
      <c r="AL27" s="59"/>
      <c r="AM27" s="59"/>
      <c r="AN27" s="59"/>
      <c r="AO27" s="59"/>
      <c r="AP27" s="59"/>
      <c r="AQ27" s="59"/>
      <c r="AR27" s="59"/>
    </row>
    <row r="28" spans="2:44" ht="15.95" customHeight="1" x14ac:dyDescent="0.25">
      <c r="B28" s="59"/>
      <c r="C28" s="59"/>
      <c r="N28" s="569">
        <f>N24*AB20+S20*N15</f>
        <v>0</v>
      </c>
      <c r="O28" s="570"/>
      <c r="P28" s="570"/>
      <c r="Q28" s="570"/>
      <c r="R28" s="570"/>
      <c r="S28" s="570"/>
      <c r="T28" s="570"/>
      <c r="U28" s="571"/>
      <c r="X28" s="575">
        <f>X24*AB20+S20*X15</f>
        <v>0</v>
      </c>
      <c r="Y28" s="576"/>
      <c r="Z28" s="576"/>
      <c r="AA28" s="576"/>
      <c r="AB28" s="576"/>
      <c r="AC28" s="576"/>
      <c r="AD28" s="576"/>
      <c r="AE28" s="577"/>
      <c r="AJ28" s="234"/>
      <c r="AK28" s="59"/>
      <c r="AL28" s="59"/>
      <c r="AM28" s="59"/>
      <c r="AN28" s="59"/>
      <c r="AO28" s="59"/>
      <c r="AP28" s="59"/>
      <c r="AQ28" s="59"/>
      <c r="AR28" s="59"/>
    </row>
    <row r="29" spans="2:44" ht="15.95" customHeight="1" thickBot="1" x14ac:dyDescent="0.3">
      <c r="B29" s="59"/>
      <c r="C29" s="232"/>
      <c r="N29" s="572"/>
      <c r="O29" s="573"/>
      <c r="P29" s="573"/>
      <c r="Q29" s="573"/>
      <c r="R29" s="573"/>
      <c r="S29" s="573"/>
      <c r="T29" s="573"/>
      <c r="U29" s="574"/>
      <c r="X29" s="578"/>
      <c r="Y29" s="579"/>
      <c r="Z29" s="579"/>
      <c r="AA29" s="579"/>
      <c r="AB29" s="579"/>
      <c r="AC29" s="579"/>
      <c r="AD29" s="579"/>
      <c r="AE29" s="580"/>
      <c r="AJ29" s="238"/>
      <c r="AK29" s="59"/>
      <c r="AL29" s="59"/>
      <c r="AM29" s="59"/>
      <c r="AN29" s="59"/>
      <c r="AO29" s="59"/>
      <c r="AP29" s="59"/>
      <c r="AQ29" s="59"/>
      <c r="AR29" s="59"/>
    </row>
    <row r="30" spans="2:44" ht="15.95" customHeight="1" thickBot="1" x14ac:dyDescent="0.3">
      <c r="B30" s="59"/>
      <c r="C30" s="59"/>
      <c r="AK30" s="59"/>
      <c r="AL30" s="59"/>
      <c r="AM30" s="59"/>
      <c r="AN30" s="59"/>
      <c r="AO30" s="59"/>
      <c r="AP30" s="59"/>
      <c r="AQ30" s="59"/>
      <c r="AR30" s="59"/>
    </row>
    <row r="31" spans="2:44" ht="15.95" customHeight="1" thickBot="1" x14ac:dyDescent="0.3">
      <c r="B31" s="59"/>
      <c r="C31" s="232"/>
      <c r="N31" s="563" t="s">
        <v>1572</v>
      </c>
      <c r="O31" s="564"/>
      <c r="P31" s="564"/>
      <c r="Q31" s="564"/>
      <c r="R31" s="564"/>
      <c r="S31" s="564"/>
      <c r="T31" s="564"/>
      <c r="U31" s="565"/>
      <c r="X31" s="566" t="s">
        <v>1573</v>
      </c>
      <c r="Y31" s="567"/>
      <c r="Z31" s="567"/>
      <c r="AA31" s="567"/>
      <c r="AB31" s="567"/>
      <c r="AC31" s="567"/>
      <c r="AD31" s="567"/>
      <c r="AE31" s="568"/>
      <c r="AK31" s="59"/>
      <c r="AL31" s="59"/>
      <c r="AM31" s="59"/>
      <c r="AN31" s="59"/>
      <c r="AO31" s="59"/>
      <c r="AP31" s="59"/>
      <c r="AQ31" s="59"/>
      <c r="AR31" s="59"/>
    </row>
    <row r="32" spans="2:44" ht="15.95" customHeight="1" x14ac:dyDescent="0.25">
      <c r="B32" s="59"/>
      <c r="C32" s="239"/>
      <c r="N32" s="569">
        <f>N28-N15</f>
        <v>0</v>
      </c>
      <c r="O32" s="570"/>
      <c r="P32" s="570"/>
      <c r="Q32" s="570"/>
      <c r="R32" s="570"/>
      <c r="S32" s="570"/>
      <c r="T32" s="570"/>
      <c r="U32" s="571"/>
      <c r="X32" s="575">
        <f>X28-X15</f>
        <v>0</v>
      </c>
      <c r="Y32" s="576"/>
      <c r="Z32" s="576"/>
      <c r="AA32" s="576"/>
      <c r="AB32" s="576"/>
      <c r="AC32" s="576"/>
      <c r="AD32" s="576"/>
      <c r="AE32" s="577"/>
      <c r="AJ32" s="275"/>
      <c r="AK32" s="59"/>
      <c r="AL32" s="59"/>
      <c r="AM32" s="59"/>
      <c r="AN32" s="59"/>
      <c r="AO32" s="59"/>
      <c r="AP32" s="59"/>
      <c r="AQ32" s="59"/>
      <c r="AR32" s="59"/>
    </row>
    <row r="33" spans="2:44" ht="15.95" customHeight="1" thickBot="1" x14ac:dyDescent="0.3">
      <c r="B33" s="59"/>
      <c r="C33" s="232"/>
      <c r="N33" s="572"/>
      <c r="O33" s="573"/>
      <c r="P33" s="573"/>
      <c r="Q33" s="573"/>
      <c r="R33" s="573"/>
      <c r="S33" s="573"/>
      <c r="T33" s="573"/>
      <c r="U33" s="574"/>
      <c r="X33" s="578"/>
      <c r="Y33" s="579"/>
      <c r="Z33" s="579"/>
      <c r="AA33" s="579"/>
      <c r="AB33" s="579"/>
      <c r="AC33" s="579"/>
      <c r="AD33" s="579"/>
      <c r="AE33" s="580"/>
      <c r="AJ33" s="275"/>
      <c r="AK33" s="59"/>
      <c r="AL33" s="59"/>
      <c r="AM33" s="59"/>
      <c r="AN33" s="59"/>
      <c r="AO33" s="59"/>
      <c r="AP33" s="59"/>
      <c r="AQ33" s="59"/>
      <c r="AR33" s="59"/>
    </row>
    <row r="34" spans="2:44" ht="15.95" customHeight="1" x14ac:dyDescent="0.25">
      <c r="B34" s="59"/>
      <c r="C34" s="122"/>
      <c r="AK34" s="59"/>
      <c r="AL34" s="234"/>
      <c r="AM34" s="234"/>
      <c r="AN34" s="234"/>
      <c r="AO34" s="234"/>
      <c r="AP34" s="234"/>
      <c r="AQ34" s="234"/>
      <c r="AR34" s="59"/>
    </row>
    <row r="35" spans="2:44" ht="15.95" customHeight="1" x14ac:dyDescent="0.3">
      <c r="B35" s="59"/>
      <c r="J35" s="538" t="str">
        <f>"In addition to your $"&amp;INCENTOTAL&amp;" incentive, you could save an estimated"</f>
        <v>In addition to your $0 incentive, you could save an estimated</v>
      </c>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9"/>
      <c r="AK35" s="59"/>
      <c r="AL35" s="237"/>
      <c r="AM35" s="237"/>
      <c r="AN35" s="237"/>
      <c r="AO35" s="237"/>
      <c r="AP35" s="237"/>
      <c r="AQ35" s="237"/>
      <c r="AR35" s="59"/>
    </row>
    <row r="36" spans="2:44" ht="15.95" customHeight="1" x14ac:dyDescent="0.4">
      <c r="B36" s="59"/>
      <c r="S36" s="562">
        <f>N32-X32</f>
        <v>0</v>
      </c>
      <c r="T36" s="562"/>
      <c r="U36" s="562"/>
      <c r="V36" s="562"/>
      <c r="W36" s="562"/>
      <c r="X36" s="562"/>
      <c r="Y36" s="562"/>
      <c r="Z36" s="562"/>
      <c r="AB36" s="282"/>
      <c r="AC36" s="282"/>
      <c r="AD36" s="282"/>
      <c r="AE36" s="282"/>
      <c r="AF36" s="282"/>
      <c r="AG36" s="282"/>
      <c r="AH36" s="282"/>
      <c r="AI36" s="282"/>
      <c r="AJ36" s="265"/>
      <c r="AK36" s="59"/>
      <c r="AL36" s="59"/>
      <c r="AM36" s="59"/>
      <c r="AN36" s="59"/>
      <c r="AO36" s="59"/>
      <c r="AP36" s="59"/>
      <c r="AQ36" s="59"/>
      <c r="AR36" s="59"/>
    </row>
    <row r="37" spans="2:44" ht="15.95" customHeight="1" x14ac:dyDescent="0.4">
      <c r="B37" s="59"/>
      <c r="S37" s="562"/>
      <c r="T37" s="562"/>
      <c r="U37" s="562"/>
      <c r="V37" s="562"/>
      <c r="W37" s="562"/>
      <c r="X37" s="562"/>
      <c r="Y37" s="562"/>
      <c r="Z37" s="562"/>
      <c r="AJ37" s="265"/>
      <c r="AK37" s="59"/>
      <c r="AL37" s="59"/>
      <c r="AM37" s="59"/>
      <c r="AN37" s="59"/>
      <c r="AO37" s="59"/>
      <c r="AP37" s="59"/>
      <c r="AQ37" s="59"/>
      <c r="AR37" s="59"/>
    </row>
    <row r="38" spans="2:44" ht="15.95" customHeight="1" x14ac:dyDescent="0.3">
      <c r="B38" s="59"/>
      <c r="O38" s="538" t="s">
        <v>1574</v>
      </c>
      <c r="P38" s="538"/>
      <c r="Q38" s="538"/>
      <c r="R38" s="538"/>
      <c r="S38" s="538"/>
      <c r="T38" s="538"/>
      <c r="U38" s="538"/>
      <c r="V38" s="538"/>
      <c r="W38" s="538"/>
      <c r="X38" s="538"/>
      <c r="Y38" s="538"/>
      <c r="Z38" s="538"/>
      <c r="AA38" s="538"/>
      <c r="AB38" s="538"/>
      <c r="AC38" s="538"/>
      <c r="AD38" s="538"/>
      <c r="AJ38" s="59"/>
      <c r="AK38" s="59"/>
      <c r="AL38" s="59"/>
      <c r="AM38" s="59"/>
      <c r="AN38" s="59"/>
      <c r="AO38" s="59"/>
      <c r="AP38" s="59"/>
      <c r="AQ38" s="59"/>
      <c r="AR38" s="59"/>
    </row>
    <row r="39" spans="2:44" ht="15.95" customHeight="1" x14ac:dyDescent="0.25">
      <c r="B39" s="59"/>
      <c r="AJ39" s="59"/>
      <c r="AK39" s="59"/>
      <c r="AL39" s="59"/>
      <c r="AM39" s="59"/>
      <c r="AN39" s="59"/>
      <c r="AO39" s="59"/>
      <c r="AP39" s="59"/>
      <c r="AQ39" s="59"/>
      <c r="AR39" s="59"/>
    </row>
    <row r="40" spans="2:44" ht="15.95" hidden="1" customHeight="1" x14ac:dyDescent="0.25">
      <c r="B40" s="59"/>
      <c r="I40" s="59"/>
      <c r="AJ40" s="59"/>
      <c r="AK40" s="59"/>
      <c r="AL40" s="59"/>
      <c r="AM40" s="59"/>
      <c r="AN40" s="59"/>
      <c r="AO40" s="59"/>
      <c r="AP40" s="59"/>
      <c r="AQ40" s="59"/>
      <c r="AR40" s="59"/>
    </row>
    <row r="41" spans="2:44" ht="15.95" hidden="1" customHeight="1" x14ac:dyDescent="0.25">
      <c r="B41" s="59"/>
      <c r="I41" s="59"/>
      <c r="AJ41" s="59"/>
      <c r="AK41" s="59"/>
      <c r="AL41" s="59"/>
      <c r="AM41" s="59"/>
      <c r="AN41" s="59"/>
      <c r="AO41" s="59"/>
      <c r="AP41" s="59"/>
      <c r="AQ41" s="59"/>
      <c r="AR41" s="59"/>
    </row>
    <row r="42" spans="2:44" ht="15.95" hidden="1" customHeight="1" x14ac:dyDescent="0.25">
      <c r="B42" s="59"/>
      <c r="I42" s="59"/>
      <c r="AJ42" s="59"/>
      <c r="AK42" s="59"/>
      <c r="AL42" s="59"/>
      <c r="AM42" s="59"/>
      <c r="AN42" s="59"/>
      <c r="AO42" s="59"/>
      <c r="AP42" s="59"/>
      <c r="AQ42" s="59"/>
      <c r="AR42" s="59"/>
    </row>
    <row r="43" spans="2:44" ht="15.95" hidden="1" customHeight="1" x14ac:dyDescent="0.25">
      <c r="B43" s="59"/>
      <c r="I43" s="59"/>
      <c r="AJ43" s="59"/>
      <c r="AK43" s="59"/>
      <c r="AL43" s="59"/>
      <c r="AM43" s="59"/>
      <c r="AN43" s="59"/>
      <c r="AO43" s="59"/>
      <c r="AP43" s="59"/>
      <c r="AQ43" s="59"/>
      <c r="AR43" s="59"/>
    </row>
    <row r="44" spans="2:44" ht="15.95" hidden="1" customHeight="1" x14ac:dyDescent="0.25">
      <c r="B44" s="59"/>
      <c r="I44" s="59"/>
      <c r="AJ44" s="59"/>
      <c r="AK44" s="59"/>
      <c r="AL44" s="59"/>
      <c r="AM44" s="59"/>
      <c r="AN44" s="59"/>
      <c r="AO44" s="59"/>
      <c r="AP44" s="59"/>
      <c r="AQ44" s="59"/>
      <c r="AR44" s="59"/>
    </row>
    <row r="45" spans="2:44" ht="15.95" hidden="1" customHeight="1" x14ac:dyDescent="0.25">
      <c r="B45" s="59"/>
      <c r="I45" s="59"/>
      <c r="AJ45" s="59"/>
      <c r="AK45" s="59"/>
      <c r="AL45" s="59"/>
      <c r="AM45" s="59"/>
      <c r="AN45" s="59"/>
      <c r="AO45" s="59"/>
      <c r="AP45" s="59"/>
      <c r="AQ45" s="59"/>
      <c r="AR45" s="59"/>
    </row>
    <row r="46" spans="2:44" ht="15.95" hidden="1" customHeight="1" x14ac:dyDescent="0.25">
      <c r="B46" s="59"/>
      <c r="I46" s="59"/>
      <c r="AJ46" s="59"/>
      <c r="AK46" s="59"/>
      <c r="AL46" s="59"/>
      <c r="AM46" s="59"/>
      <c r="AN46" s="59"/>
      <c r="AO46" s="59"/>
      <c r="AP46" s="59"/>
      <c r="AQ46" s="59"/>
      <c r="AR46" s="59"/>
    </row>
    <row r="47" spans="2:44" ht="15.95" hidden="1" customHeight="1" x14ac:dyDescent="0.25">
      <c r="B47" s="59"/>
      <c r="I47" s="59"/>
      <c r="AJ47" s="59"/>
      <c r="AK47" s="59"/>
      <c r="AL47" s="59"/>
      <c r="AM47" s="59"/>
      <c r="AN47" s="59"/>
      <c r="AO47" s="59"/>
      <c r="AP47" s="59"/>
      <c r="AQ47" s="59"/>
      <c r="AR47" s="59"/>
    </row>
    <row r="48" spans="2:44" ht="15.95" hidden="1" customHeight="1" x14ac:dyDescent="0.25">
      <c r="B48" s="59"/>
      <c r="I48" s="59"/>
      <c r="AJ48" s="59"/>
      <c r="AK48" s="59"/>
      <c r="AL48" s="59"/>
      <c r="AM48" s="59"/>
      <c r="AN48" s="59"/>
      <c r="AO48" s="59"/>
      <c r="AP48" s="59"/>
      <c r="AQ48" s="59"/>
      <c r="AR48" s="59"/>
    </row>
    <row r="49" spans="2:44" ht="15.95" hidden="1" customHeight="1" x14ac:dyDescent="0.25">
      <c r="B49" s="59"/>
      <c r="I49" s="59"/>
      <c r="AJ49" s="59"/>
      <c r="AK49" s="59"/>
      <c r="AL49" s="59"/>
      <c r="AM49" s="59"/>
      <c r="AN49" s="59"/>
      <c r="AO49" s="59"/>
      <c r="AP49" s="59"/>
      <c r="AQ49" s="59"/>
      <c r="AR49" s="59"/>
    </row>
    <row r="50" spans="2:44" ht="15.95" hidden="1" customHeight="1" x14ac:dyDescent="0.25">
      <c r="B50" s="59"/>
      <c r="I50" s="59"/>
      <c r="AJ50" s="59"/>
      <c r="AK50" s="59"/>
      <c r="AL50" s="59"/>
      <c r="AM50" s="59"/>
      <c r="AN50" s="59"/>
      <c r="AO50" s="59"/>
      <c r="AP50" s="59"/>
      <c r="AQ50" s="59"/>
      <c r="AR50" s="59"/>
    </row>
    <row r="51" spans="2:44" ht="15.95" hidden="1" customHeight="1" x14ac:dyDescent="0.25">
      <c r="B51" s="59"/>
      <c r="I51" s="59"/>
      <c r="AJ51" s="59"/>
      <c r="AK51" s="59"/>
      <c r="AL51" s="59"/>
      <c r="AM51" s="59"/>
      <c r="AN51" s="59"/>
      <c r="AO51" s="59"/>
      <c r="AP51" s="59"/>
      <c r="AQ51" s="59"/>
      <c r="AR51" s="59"/>
    </row>
    <row r="52" spans="2:44" ht="15.95" hidden="1" customHeight="1" x14ac:dyDescent="0.25">
      <c r="B52" s="59"/>
      <c r="I52" s="59"/>
      <c r="AJ52" s="59"/>
      <c r="AK52" s="59"/>
      <c r="AL52" s="59"/>
      <c r="AM52" s="59"/>
      <c r="AN52" s="59"/>
      <c r="AO52" s="59"/>
      <c r="AP52" s="59"/>
      <c r="AQ52" s="59"/>
      <c r="AR52" s="59"/>
    </row>
    <row r="53" spans="2:44" ht="15.95" hidden="1" customHeight="1" x14ac:dyDescent="0.25">
      <c r="B53" s="59"/>
      <c r="I53" s="59"/>
      <c r="AJ53" s="59"/>
      <c r="AK53" s="59"/>
      <c r="AL53" s="59"/>
      <c r="AM53" s="59"/>
      <c r="AN53" s="59"/>
      <c r="AO53" s="59"/>
      <c r="AP53" s="59"/>
      <c r="AQ53" s="59"/>
      <c r="AR53" s="59"/>
    </row>
    <row r="54" spans="2:44" ht="15.95" hidden="1" customHeight="1" x14ac:dyDescent="0.25">
      <c r="B54" s="59"/>
      <c r="I54" s="59"/>
      <c r="AJ54" s="59"/>
      <c r="AK54" s="59"/>
      <c r="AL54" s="59"/>
      <c r="AM54" s="59"/>
      <c r="AN54" s="59"/>
      <c r="AO54" s="59"/>
      <c r="AP54" s="59"/>
      <c r="AQ54" s="59"/>
      <c r="AR54" s="59"/>
    </row>
    <row r="55" spans="2:44" ht="15.95" hidden="1" customHeight="1" x14ac:dyDescent="0.4">
      <c r="B55" s="59"/>
      <c r="I55" s="59"/>
      <c r="AJ55" s="265"/>
      <c r="AK55" s="59"/>
      <c r="AL55" s="59"/>
      <c r="AM55" s="59"/>
      <c r="AN55" s="59"/>
      <c r="AO55" s="59"/>
      <c r="AP55" s="59"/>
      <c r="AQ55" s="59"/>
      <c r="AR55" s="59"/>
    </row>
    <row r="56" spans="2:44" ht="15.95" hidden="1" customHeight="1" x14ac:dyDescent="0.4">
      <c r="B56" s="59"/>
      <c r="I56" s="59"/>
      <c r="AJ56" s="265"/>
      <c r="AK56" s="59"/>
      <c r="AL56" s="59"/>
      <c r="AM56" s="59"/>
      <c r="AN56" s="59"/>
      <c r="AO56" s="59"/>
      <c r="AP56" s="59"/>
      <c r="AQ56" s="59"/>
      <c r="AR56" s="59"/>
    </row>
    <row r="57" spans="2:44" ht="15.95" hidden="1" customHeight="1" x14ac:dyDescent="0.25">
      <c r="B57" s="59"/>
      <c r="I57" s="59"/>
      <c r="AK57" s="59"/>
      <c r="AL57" s="59"/>
      <c r="AM57" s="59"/>
      <c r="AN57" s="59"/>
      <c r="AO57" s="59"/>
      <c r="AP57" s="59"/>
      <c r="AQ57" s="59"/>
      <c r="AR57" s="59"/>
    </row>
    <row r="58" spans="2:44" ht="15.95" hidden="1" customHeight="1" x14ac:dyDescent="0.25">
      <c r="B58" s="59"/>
      <c r="I58" s="59"/>
      <c r="AK58" s="59"/>
      <c r="AL58" s="59"/>
      <c r="AM58" s="59"/>
      <c r="AN58" s="59"/>
      <c r="AO58" s="59"/>
      <c r="AP58" s="59"/>
      <c r="AQ58" s="59"/>
      <c r="AR58" s="59"/>
    </row>
    <row r="59" spans="2:44" ht="15.95" hidden="1" customHeight="1" x14ac:dyDescent="0.35">
      <c r="B59" s="59"/>
      <c r="I59" s="59"/>
      <c r="J59" s="266"/>
      <c r="K59" s="266"/>
      <c r="L59" s="266"/>
      <c r="M59" s="266"/>
      <c r="N59" s="266"/>
      <c r="O59" s="266"/>
      <c r="P59" s="266"/>
      <c r="Q59" s="266"/>
      <c r="R59" s="266"/>
      <c r="AK59" s="59"/>
      <c r="AL59" s="59"/>
      <c r="AM59" s="59"/>
      <c r="AN59" s="59"/>
      <c r="AO59" s="59"/>
      <c r="AP59" s="59"/>
      <c r="AQ59" s="59"/>
      <c r="AR59" s="59"/>
    </row>
    <row r="60" spans="2:44" ht="15.95" hidden="1" customHeight="1" x14ac:dyDescent="0.25">
      <c r="B60" s="59"/>
      <c r="I60" s="59"/>
      <c r="AK60" s="59"/>
      <c r="AL60" s="59"/>
      <c r="AM60" s="59"/>
      <c r="AN60" s="59"/>
      <c r="AO60" s="59"/>
      <c r="AP60" s="59"/>
      <c r="AQ60" s="59"/>
      <c r="AR60" s="59"/>
    </row>
    <row r="61" spans="2:44" ht="15.95" hidden="1" customHeight="1" x14ac:dyDescent="0.25">
      <c r="B61" s="59"/>
      <c r="I61" s="59"/>
      <c r="AK61" s="59"/>
      <c r="AL61" s="59"/>
      <c r="AM61" s="59"/>
      <c r="AN61" s="59"/>
      <c r="AO61" s="59"/>
      <c r="AP61" s="59"/>
      <c r="AQ61" s="59"/>
      <c r="AR61" s="59"/>
    </row>
    <row r="62" spans="2:44" ht="15.95" hidden="1" customHeight="1" x14ac:dyDescent="0.25">
      <c r="B62" s="59"/>
      <c r="I62" s="59"/>
      <c r="AK62" s="59"/>
      <c r="AL62" s="59"/>
      <c r="AM62" s="59"/>
      <c r="AN62" s="59"/>
      <c r="AO62" s="59"/>
      <c r="AP62" s="59"/>
      <c r="AQ62" s="59"/>
      <c r="AR62" s="59"/>
    </row>
    <row r="63" spans="2:44" ht="15.95" hidden="1" customHeight="1" x14ac:dyDescent="0.35">
      <c r="B63" s="59"/>
      <c r="I63" s="59"/>
      <c r="AJ63" s="242"/>
      <c r="AK63" s="59"/>
      <c r="AL63" s="59"/>
      <c r="AM63" s="59"/>
      <c r="AN63" s="59"/>
      <c r="AO63" s="59"/>
      <c r="AP63" s="59"/>
      <c r="AQ63" s="59"/>
      <c r="AR63" s="59"/>
    </row>
    <row r="64" spans="2:44" ht="15.95" hidden="1" customHeight="1" x14ac:dyDescent="0.35">
      <c r="B64" s="59"/>
      <c r="I64" s="59"/>
      <c r="AJ64" s="242"/>
      <c r="AK64" s="59"/>
      <c r="AL64" s="59"/>
      <c r="AM64" s="59"/>
      <c r="AN64" s="59"/>
      <c r="AO64" s="59"/>
      <c r="AP64" s="59"/>
      <c r="AQ64" s="59"/>
      <c r="AR64" s="59"/>
    </row>
    <row r="65" spans="2:44" ht="15.95" hidden="1" customHeight="1" x14ac:dyDescent="0.25">
      <c r="B65" s="59"/>
      <c r="I65" s="59"/>
      <c r="AK65" s="59"/>
      <c r="AL65" s="59"/>
      <c r="AM65" s="59"/>
      <c r="AN65" s="59"/>
      <c r="AO65" s="59"/>
      <c r="AP65" s="59"/>
      <c r="AQ65" s="59"/>
      <c r="AR65" s="59"/>
    </row>
    <row r="66" spans="2:44" ht="15.95" hidden="1" customHeight="1" x14ac:dyDescent="0.25">
      <c r="B66" s="59"/>
      <c r="I66" s="59"/>
      <c r="AK66" s="59"/>
      <c r="AL66" s="59"/>
      <c r="AM66" s="59"/>
      <c r="AN66" s="59"/>
      <c r="AO66" s="59"/>
      <c r="AP66" s="59"/>
      <c r="AQ66" s="59"/>
      <c r="AR66" s="59"/>
    </row>
    <row r="67" spans="2:44" ht="15.95" hidden="1" customHeight="1" x14ac:dyDescent="0.25">
      <c r="B67" s="59"/>
      <c r="I67" s="59"/>
      <c r="AK67" s="59"/>
      <c r="AL67" s="59"/>
      <c r="AM67" s="59"/>
      <c r="AN67" s="59"/>
      <c r="AO67" s="59"/>
      <c r="AP67" s="59"/>
      <c r="AQ67" s="59"/>
      <c r="AR67" s="59"/>
    </row>
    <row r="68" spans="2:44" ht="15.95" hidden="1" customHeight="1" x14ac:dyDescent="0.25">
      <c r="B68" s="59"/>
      <c r="I68" s="59"/>
      <c r="AK68" s="59"/>
      <c r="AL68" s="59"/>
      <c r="AM68" s="59"/>
      <c r="AN68" s="59"/>
      <c r="AO68" s="59"/>
      <c r="AP68" s="59"/>
      <c r="AQ68" s="59"/>
      <c r="AR68" s="59"/>
    </row>
    <row r="69" spans="2:44" ht="15.95" hidden="1" customHeight="1" x14ac:dyDescent="0.25">
      <c r="B69" s="59"/>
      <c r="I69" s="59"/>
      <c r="AK69" s="59"/>
      <c r="AL69" s="59"/>
      <c r="AM69" s="59"/>
      <c r="AN69" s="59"/>
      <c r="AO69" s="59"/>
      <c r="AP69" s="59"/>
      <c r="AQ69" s="59"/>
      <c r="AR69" s="59"/>
    </row>
    <row r="70" spans="2:44" ht="15.95" hidden="1" customHeight="1" x14ac:dyDescent="0.25">
      <c r="B70" s="59"/>
      <c r="I70" s="59"/>
      <c r="AK70" s="59"/>
      <c r="AL70" s="59"/>
      <c r="AM70" s="59"/>
      <c r="AN70" s="59"/>
      <c r="AO70" s="59"/>
      <c r="AP70" s="59"/>
      <c r="AQ70" s="59"/>
      <c r="AR70" s="59"/>
    </row>
    <row r="71" spans="2:44" ht="15.95" hidden="1" customHeight="1" x14ac:dyDescent="0.25">
      <c r="B71" s="59"/>
      <c r="I71" s="59"/>
      <c r="AJ71" s="261"/>
      <c r="AK71" s="59"/>
      <c r="AL71" s="59"/>
      <c r="AM71" s="59"/>
      <c r="AN71" s="59"/>
      <c r="AO71" s="59"/>
      <c r="AP71" s="59"/>
      <c r="AQ71" s="59"/>
      <c r="AR71" s="59"/>
    </row>
    <row r="72" spans="2:44" ht="15.95" hidden="1" customHeight="1" x14ac:dyDescent="0.25">
      <c r="B72" s="59"/>
      <c r="I72" s="59"/>
      <c r="AJ72" s="247"/>
      <c r="AK72" s="59"/>
      <c r="AL72" s="59"/>
      <c r="AM72" s="59"/>
      <c r="AN72" s="59"/>
      <c r="AO72" s="59"/>
      <c r="AP72" s="59"/>
      <c r="AQ72" s="59"/>
      <c r="AR72" s="59"/>
    </row>
    <row r="73" spans="2:44" ht="15.95" hidden="1" customHeight="1" x14ac:dyDescent="0.25">
      <c r="B73" s="59"/>
      <c r="I73" s="59"/>
      <c r="AJ73" s="257"/>
      <c r="AK73" s="59"/>
      <c r="AL73" s="59"/>
      <c r="AM73" s="59"/>
      <c r="AN73" s="59"/>
      <c r="AO73" s="59"/>
      <c r="AP73" s="59"/>
      <c r="AQ73" s="59"/>
      <c r="AR73" s="59"/>
    </row>
    <row r="74" spans="2:44" ht="15.95" hidden="1" customHeight="1" x14ac:dyDescent="0.25">
      <c r="B74" s="59"/>
      <c r="I74" s="59"/>
      <c r="AK74" s="59"/>
      <c r="AL74" s="59"/>
      <c r="AM74" s="59"/>
      <c r="AN74" s="59"/>
      <c r="AO74" s="59"/>
      <c r="AP74" s="59"/>
      <c r="AQ74" s="59"/>
      <c r="AR74" s="59"/>
    </row>
    <row r="75" spans="2:44" ht="15.95" hidden="1" customHeight="1" x14ac:dyDescent="0.25">
      <c r="B75" s="59"/>
      <c r="I75" s="59"/>
      <c r="AK75" s="59"/>
      <c r="AL75" s="59"/>
      <c r="AM75" s="59"/>
      <c r="AN75" s="59"/>
      <c r="AO75" s="59"/>
      <c r="AP75" s="59"/>
      <c r="AQ75" s="59"/>
      <c r="AR75" s="59"/>
    </row>
    <row r="76" spans="2:44" ht="15.95" hidden="1" customHeight="1" x14ac:dyDescent="0.25">
      <c r="B76" s="59"/>
      <c r="I76" s="59"/>
      <c r="AJ76" s="59"/>
      <c r="AK76" s="59"/>
      <c r="AL76" s="59"/>
      <c r="AM76" s="59"/>
      <c r="AN76" s="59"/>
      <c r="AO76" s="59"/>
      <c r="AP76" s="59"/>
      <c r="AQ76" s="59"/>
      <c r="AR76" s="59"/>
    </row>
    <row r="77" spans="2:44" ht="15.95" hidden="1" customHeight="1" x14ac:dyDescent="0.25">
      <c r="B77" s="59"/>
      <c r="I77" s="59"/>
      <c r="AJ77" s="255"/>
      <c r="AK77" s="59"/>
      <c r="AL77" s="59"/>
      <c r="AM77" s="59"/>
      <c r="AN77" s="59"/>
      <c r="AO77" s="59"/>
      <c r="AP77" s="59"/>
      <c r="AQ77" s="59"/>
      <c r="AR77" s="59"/>
    </row>
    <row r="78" spans="2:44" ht="15.95" hidden="1" customHeight="1" x14ac:dyDescent="0.25">
      <c r="B78" s="59"/>
      <c r="I78" s="59"/>
      <c r="AJ78" s="255"/>
      <c r="AK78" s="59"/>
      <c r="AL78" s="59"/>
      <c r="AM78" s="59"/>
      <c r="AN78" s="59"/>
      <c r="AO78" s="59"/>
      <c r="AP78" s="59"/>
      <c r="AQ78" s="59"/>
      <c r="AR78" s="59"/>
    </row>
    <row r="79" spans="2:44" ht="15.95" hidden="1" customHeight="1" x14ac:dyDescent="0.25">
      <c r="B79" s="59"/>
      <c r="I79" s="59"/>
      <c r="AJ79" s="59"/>
      <c r="AK79" s="59"/>
      <c r="AL79" s="59"/>
      <c r="AM79" s="59"/>
      <c r="AN79" s="59"/>
      <c r="AO79" s="59"/>
      <c r="AP79" s="59"/>
      <c r="AQ79" s="59"/>
      <c r="AR79" s="59"/>
    </row>
    <row r="80" spans="2:44" ht="15.95" hidden="1" customHeight="1" x14ac:dyDescent="0.25">
      <c r="B80" s="59"/>
      <c r="I80" s="59"/>
      <c r="AJ80" s="59"/>
      <c r="AK80" s="59"/>
      <c r="AL80" s="59"/>
      <c r="AM80" s="59"/>
      <c r="AN80" s="59"/>
      <c r="AO80" s="59"/>
      <c r="AP80" s="59"/>
      <c r="AQ80" s="59"/>
      <c r="AR80" s="59"/>
    </row>
    <row r="81" spans="2:44" ht="15.95" hidden="1" customHeight="1" x14ac:dyDescent="0.25">
      <c r="B81" s="59"/>
      <c r="I81" s="59"/>
      <c r="J81" s="229"/>
      <c r="K81" s="229"/>
      <c r="L81" s="229"/>
      <c r="M81" s="229"/>
      <c r="N81" s="229"/>
      <c r="O81" s="229"/>
      <c r="P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2:44" ht="15.95" hidden="1" customHeight="1" x14ac:dyDescent="0.25">
      <c r="B82" s="59"/>
      <c r="I82" s="59"/>
      <c r="J82" s="229"/>
      <c r="K82" s="229"/>
      <c r="L82" s="229"/>
      <c r="M82" s="229"/>
      <c r="N82" s="229"/>
      <c r="O82" s="229"/>
      <c r="P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2:44" ht="15.95" hidden="1" customHeight="1" x14ac:dyDescent="0.25">
      <c r="B83" s="59"/>
      <c r="I83" s="59"/>
      <c r="J83" s="229"/>
      <c r="K83" s="229"/>
      <c r="L83" s="229"/>
      <c r="M83" s="229"/>
      <c r="N83" s="229"/>
      <c r="O83" s="229"/>
      <c r="P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2:44" ht="15.95" hidden="1" customHeight="1" x14ac:dyDescent="0.25">
      <c r="B84" s="59"/>
      <c r="I84" s="59"/>
      <c r="J84" s="229"/>
      <c r="K84" s="229"/>
      <c r="L84" s="229"/>
      <c r="M84" s="229"/>
      <c r="N84" s="229"/>
      <c r="O84" s="229"/>
      <c r="P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2:44" ht="15.95" hidden="1" customHeight="1" x14ac:dyDescent="0.25">
      <c r="B85" s="59"/>
      <c r="I85" s="59"/>
      <c r="J85" s="229"/>
      <c r="K85" s="229"/>
      <c r="L85" s="229"/>
      <c r="M85" s="229"/>
      <c r="N85" s="229"/>
      <c r="O85" s="229"/>
      <c r="P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2:44" ht="15.95" hidden="1" customHeight="1" x14ac:dyDescent="0.25">
      <c r="B86" s="59"/>
      <c r="I86" s="59"/>
      <c r="J86" s="229"/>
      <c r="K86" s="229"/>
      <c r="L86" s="229"/>
      <c r="M86" s="229"/>
      <c r="N86" s="229"/>
      <c r="O86" s="229"/>
      <c r="P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2:44" ht="15.95" hidden="1" customHeight="1" x14ac:dyDescent="0.25">
      <c r="B87" s="59"/>
      <c r="I87" s="59"/>
      <c r="J87" s="229"/>
      <c r="K87" s="229"/>
      <c r="L87" s="229"/>
      <c r="M87" s="229"/>
      <c r="N87" s="229"/>
      <c r="O87" s="229"/>
      <c r="P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2:44" ht="15.95" hidden="1" customHeight="1" x14ac:dyDescent="0.25">
      <c r="B88" s="59"/>
      <c r="I88" s="59"/>
      <c r="J88" s="229"/>
      <c r="K88" s="229"/>
      <c r="L88" s="229"/>
      <c r="M88" s="229"/>
      <c r="N88" s="229"/>
      <c r="O88" s="229"/>
      <c r="P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2:44" ht="15.95" hidden="1" customHeight="1" x14ac:dyDescent="0.25">
      <c r="B89" s="59"/>
      <c r="I89" s="59"/>
      <c r="J89" s="229"/>
      <c r="K89" s="229"/>
      <c r="L89" s="229"/>
      <c r="M89" s="229"/>
      <c r="N89" s="229"/>
      <c r="O89" s="229"/>
      <c r="P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2:44" ht="15.95" hidden="1" customHeight="1" x14ac:dyDescent="0.25">
      <c r="B90" s="59"/>
      <c r="I90" s="59"/>
      <c r="J90" s="229"/>
      <c r="K90" s="229"/>
      <c r="L90" s="229"/>
      <c r="M90" s="229"/>
      <c r="N90" s="229"/>
      <c r="O90" s="229"/>
      <c r="P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2:44" ht="15.95" hidden="1" customHeight="1" x14ac:dyDescent="0.25">
      <c r="B91" s="59"/>
      <c r="I91" s="59"/>
      <c r="J91" s="229"/>
      <c r="K91" s="229"/>
      <c r="L91" s="229"/>
      <c r="M91" s="229"/>
      <c r="N91" s="229"/>
      <c r="O91" s="229"/>
      <c r="P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2:44" ht="15.95" hidden="1" customHeight="1" x14ac:dyDescent="0.25">
      <c r="B92" s="59"/>
      <c r="I92" s="59"/>
      <c r="J92" s="229"/>
      <c r="K92" s="229"/>
      <c r="L92" s="229"/>
      <c r="M92" s="229"/>
      <c r="N92" s="229"/>
      <c r="O92" s="229"/>
      <c r="P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2:44" ht="15.95" hidden="1" customHeight="1" x14ac:dyDescent="0.25">
      <c r="B93" s="59"/>
      <c r="I93" s="59"/>
      <c r="J93" s="229"/>
      <c r="K93" s="229"/>
      <c r="L93" s="229"/>
      <c r="M93" s="229"/>
      <c r="N93" s="229"/>
      <c r="O93" s="229"/>
      <c r="P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x14ac:dyDescent="0.25">
      <c r="B94" s="59"/>
      <c r="I94" s="59"/>
      <c r="J94" s="229"/>
      <c r="K94" s="229"/>
      <c r="L94" s="229"/>
      <c r="M94" s="229"/>
      <c r="N94" s="229"/>
      <c r="O94" s="229"/>
      <c r="P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x14ac:dyDescent="0.25">
      <c r="B95" s="59"/>
      <c r="I95" s="59"/>
      <c r="J95" s="229"/>
      <c r="K95" s="229"/>
      <c r="L95" s="229"/>
      <c r="M95" s="229"/>
      <c r="N95" s="229"/>
      <c r="O95" s="229"/>
      <c r="P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x14ac:dyDescent="0.25">
      <c r="B96" s="59"/>
      <c r="I96" s="59"/>
      <c r="J96" s="229"/>
      <c r="K96" s="229"/>
      <c r="L96" s="229"/>
      <c r="M96" s="229"/>
      <c r="N96" s="229"/>
      <c r="O96" s="229"/>
      <c r="P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x14ac:dyDescent="0.25">
      <c r="B97" s="59"/>
      <c r="I97" s="59"/>
      <c r="J97" s="229"/>
      <c r="K97" s="229"/>
      <c r="L97" s="229"/>
      <c r="M97" s="229"/>
      <c r="N97" s="229"/>
      <c r="O97" s="229"/>
      <c r="P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x14ac:dyDescent="0.25">
      <c r="B98" s="59"/>
      <c r="I98" s="59"/>
      <c r="J98" s="229"/>
      <c r="K98" s="229"/>
      <c r="L98" s="229"/>
      <c r="M98" s="229"/>
      <c r="N98" s="229"/>
      <c r="O98" s="229"/>
      <c r="P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x14ac:dyDescent="0.25">
      <c r="B99" s="59"/>
      <c r="I99" s="59"/>
      <c r="J99" s="229"/>
      <c r="K99" s="229"/>
      <c r="L99" s="229"/>
      <c r="M99" s="229"/>
      <c r="N99" s="229"/>
      <c r="O99" s="229"/>
      <c r="P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x14ac:dyDescent="0.25">
      <c r="B100" s="59"/>
      <c r="I100" s="59"/>
      <c r="J100" s="229"/>
      <c r="K100" s="229"/>
      <c r="L100" s="229"/>
      <c r="M100" s="229"/>
      <c r="N100" s="229"/>
      <c r="O100" s="229"/>
      <c r="P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x14ac:dyDescent="0.25">
      <c r="B101" s="59"/>
      <c r="I101" s="59"/>
      <c r="J101" s="229"/>
      <c r="K101" s="229"/>
      <c r="L101" s="229"/>
      <c r="M101" s="229"/>
      <c r="N101" s="229"/>
      <c r="O101" s="229"/>
      <c r="P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x14ac:dyDescent="0.25">
      <c r="B102" s="59"/>
      <c r="I102" s="59"/>
      <c r="J102" s="229"/>
      <c r="K102" s="229"/>
      <c r="L102" s="229"/>
      <c r="M102" s="229"/>
      <c r="N102" s="229"/>
      <c r="O102" s="229"/>
      <c r="P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x14ac:dyDescent="0.25">
      <c r="B103" s="59"/>
      <c r="I103" s="59"/>
      <c r="J103" s="229"/>
      <c r="K103" s="229"/>
      <c r="L103" s="229"/>
      <c r="M103" s="229"/>
      <c r="N103" s="229"/>
      <c r="O103" s="229"/>
      <c r="P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x14ac:dyDescent="0.25">
      <c r="B104" s="59"/>
      <c r="I104" s="59"/>
      <c r="J104" s="229"/>
      <c r="K104" s="229"/>
      <c r="L104" s="229"/>
      <c r="M104" s="229"/>
      <c r="N104" s="229"/>
      <c r="O104" s="229"/>
      <c r="P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x14ac:dyDescent="0.25">
      <c r="B105" s="59"/>
      <c r="I105" s="59"/>
      <c r="J105" s="229"/>
      <c r="K105" s="229"/>
      <c r="L105" s="229"/>
      <c r="M105" s="229"/>
      <c r="N105" s="229"/>
      <c r="O105" s="229"/>
      <c r="P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x14ac:dyDescent="0.25">
      <c r="B106" s="59"/>
      <c r="I106" s="59"/>
      <c r="J106" s="229"/>
      <c r="K106" s="229"/>
      <c r="L106" s="229"/>
      <c r="M106" s="229"/>
      <c r="N106" s="229"/>
      <c r="O106" s="229"/>
      <c r="P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x14ac:dyDescent="0.25">
      <c r="B107" s="59"/>
      <c r="I107" s="59"/>
      <c r="J107" s="229"/>
      <c r="K107" s="229"/>
      <c r="L107" s="229"/>
      <c r="M107" s="229"/>
      <c r="N107" s="229"/>
      <c r="O107" s="229"/>
      <c r="P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x14ac:dyDescent="0.25">
      <c r="B108" s="59"/>
      <c r="I108" s="59"/>
      <c r="J108" s="229"/>
      <c r="K108" s="229"/>
      <c r="L108" s="229"/>
      <c r="M108" s="229"/>
      <c r="N108" s="229"/>
      <c r="O108" s="229"/>
      <c r="P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x14ac:dyDescent="0.25">
      <c r="B109" s="59"/>
      <c r="I109" s="59"/>
      <c r="J109" s="229"/>
      <c r="K109" s="229"/>
      <c r="L109" s="229"/>
      <c r="M109" s="229"/>
      <c r="N109" s="229"/>
      <c r="O109" s="229"/>
      <c r="P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x14ac:dyDescent="0.25">
      <c r="B110" s="59"/>
      <c r="I110" s="59"/>
      <c r="J110" s="229"/>
      <c r="K110" s="229"/>
      <c r="L110" s="229"/>
      <c r="M110" s="229"/>
      <c r="N110" s="229"/>
      <c r="O110" s="229"/>
      <c r="P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x14ac:dyDescent="0.25">
      <c r="B111" s="59"/>
      <c r="I111" s="59"/>
      <c r="J111" s="229"/>
      <c r="K111" s="229"/>
      <c r="L111" s="229"/>
      <c r="M111" s="229"/>
      <c r="N111" s="229"/>
      <c r="O111" s="229"/>
      <c r="P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x14ac:dyDescent="0.25">
      <c r="B112" s="59"/>
      <c r="I112" s="59"/>
      <c r="J112" s="229"/>
      <c r="K112" s="229"/>
      <c r="L112" s="229"/>
      <c r="M112" s="229"/>
      <c r="N112" s="229"/>
      <c r="O112" s="229"/>
      <c r="P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x14ac:dyDescent="0.25">
      <c r="B113" s="59"/>
      <c r="I113" s="59"/>
      <c r="J113" s="229"/>
      <c r="K113" s="229"/>
      <c r="L113" s="229"/>
      <c r="M113" s="229"/>
      <c r="N113" s="229"/>
      <c r="O113" s="229"/>
      <c r="P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x14ac:dyDescent="0.25">
      <c r="B114" s="59"/>
      <c r="I114" s="59"/>
      <c r="J114" s="229"/>
      <c r="K114" s="229"/>
      <c r="L114" s="229"/>
      <c r="M114" s="229"/>
      <c r="N114" s="229"/>
      <c r="O114" s="229"/>
      <c r="P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x14ac:dyDescent="0.25">
      <c r="B115" s="59"/>
      <c r="I115" s="59"/>
      <c r="J115" s="229"/>
      <c r="K115" s="229"/>
      <c r="L115" s="229"/>
      <c r="M115" s="229"/>
      <c r="N115" s="229"/>
      <c r="O115" s="229"/>
      <c r="P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x14ac:dyDescent="0.25">
      <c r="B116" s="59"/>
      <c r="I116" s="59"/>
      <c r="J116" s="229"/>
      <c r="K116" s="229"/>
      <c r="L116" s="229"/>
      <c r="M116" s="229"/>
      <c r="N116" s="229"/>
      <c r="O116" s="229"/>
      <c r="P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x14ac:dyDescent="0.25">
      <c r="B117" s="59"/>
      <c r="I117" s="59"/>
      <c r="J117" s="229"/>
      <c r="K117" s="229"/>
      <c r="L117" s="229"/>
      <c r="M117" s="229"/>
      <c r="N117" s="229"/>
      <c r="O117" s="229"/>
      <c r="P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x14ac:dyDescent="0.25">
      <c r="B118" s="59"/>
      <c r="I118" s="59"/>
      <c r="J118" s="229"/>
      <c r="K118" s="229"/>
      <c r="L118" s="229"/>
      <c r="M118" s="229"/>
      <c r="N118" s="229"/>
      <c r="O118" s="229"/>
      <c r="P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x14ac:dyDescent="0.25">
      <c r="B119" s="59"/>
      <c r="I119" s="59"/>
      <c r="J119" s="229"/>
      <c r="K119" s="229"/>
      <c r="L119" s="229"/>
      <c r="M119" s="229"/>
      <c r="N119" s="229"/>
      <c r="O119" s="229"/>
      <c r="P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x14ac:dyDescent="0.25">
      <c r="B120" s="59"/>
      <c r="I120" s="59"/>
      <c r="J120" s="229"/>
      <c r="K120" s="229"/>
      <c r="L120" s="229"/>
      <c r="M120" s="229"/>
      <c r="N120" s="229"/>
      <c r="O120" s="229"/>
      <c r="P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x14ac:dyDescent="0.25">
      <c r="B121" s="59"/>
      <c r="I121" s="59"/>
      <c r="J121" s="229"/>
      <c r="K121" s="229"/>
      <c r="L121" s="229"/>
      <c r="M121" s="229"/>
      <c r="N121" s="229"/>
      <c r="O121" s="229"/>
      <c r="P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x14ac:dyDescent="0.25">
      <c r="B122" s="59"/>
      <c r="I122" s="59"/>
      <c r="J122" s="229"/>
      <c r="K122" s="229"/>
      <c r="L122" s="229"/>
      <c r="M122" s="229"/>
      <c r="N122" s="229"/>
      <c r="O122" s="229"/>
      <c r="P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x14ac:dyDescent="0.25">
      <c r="B123" s="59"/>
      <c r="I123" s="59"/>
      <c r="J123" s="229"/>
      <c r="K123" s="229"/>
      <c r="L123" s="229"/>
      <c r="M123" s="229"/>
      <c r="N123" s="229"/>
      <c r="O123" s="229"/>
      <c r="P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x14ac:dyDescent="0.25">
      <c r="B124" s="59"/>
      <c r="I124" s="59"/>
      <c r="J124" s="229"/>
      <c r="K124" s="229"/>
      <c r="L124" s="229"/>
      <c r="M124" s="229"/>
      <c r="N124" s="229"/>
      <c r="O124" s="229"/>
      <c r="P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x14ac:dyDescent="0.25">
      <c r="B125" s="59"/>
      <c r="I125" s="59"/>
      <c r="J125" s="229"/>
      <c r="K125" s="229"/>
      <c r="L125" s="229"/>
      <c r="M125" s="229"/>
      <c r="N125" s="229"/>
      <c r="O125" s="229"/>
      <c r="P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x14ac:dyDescent="0.25">
      <c r="B126" s="59"/>
      <c r="I126" s="59"/>
      <c r="J126" s="229"/>
      <c r="K126" s="229"/>
      <c r="L126" s="229"/>
      <c r="M126" s="229"/>
      <c r="N126" s="229"/>
      <c r="O126" s="229"/>
      <c r="P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x14ac:dyDescent="0.25">
      <c r="B127" s="59"/>
      <c r="I127" s="59"/>
      <c r="J127" s="229"/>
      <c r="K127" s="229"/>
      <c r="L127" s="229"/>
      <c r="M127" s="229"/>
      <c r="N127" s="229"/>
      <c r="O127" s="229"/>
      <c r="P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x14ac:dyDescent="0.25">
      <c r="B128" s="59"/>
      <c r="I128" s="59"/>
      <c r="J128" s="229"/>
      <c r="K128" s="229"/>
      <c r="L128" s="229"/>
      <c r="M128" s="229"/>
      <c r="N128" s="229"/>
      <c r="O128" s="229"/>
      <c r="P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x14ac:dyDescent="0.25">
      <c r="B129" s="59"/>
      <c r="I129" s="59"/>
      <c r="J129" s="229"/>
      <c r="K129" s="229"/>
      <c r="L129" s="229"/>
      <c r="M129" s="229"/>
      <c r="N129" s="229"/>
      <c r="O129" s="229"/>
      <c r="P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x14ac:dyDescent="0.25">
      <c r="B130" s="59"/>
      <c r="I130" s="59"/>
      <c r="J130" s="229"/>
      <c r="K130" s="229"/>
      <c r="L130" s="229"/>
      <c r="M130" s="229"/>
      <c r="N130" s="229"/>
      <c r="O130" s="229"/>
      <c r="P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x14ac:dyDescent="0.25">
      <c r="B131" s="59"/>
      <c r="I131" s="59"/>
      <c r="J131" s="229"/>
      <c r="K131" s="229"/>
      <c r="L131" s="229"/>
      <c r="M131" s="229"/>
      <c r="N131" s="229"/>
      <c r="O131" s="229"/>
      <c r="P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x14ac:dyDescent="0.25">
      <c r="B132" s="59"/>
      <c r="I132" s="59"/>
      <c r="J132" s="229"/>
      <c r="K132" s="229"/>
      <c r="L132" s="229"/>
      <c r="M132" s="229"/>
      <c r="N132" s="229"/>
      <c r="O132" s="229"/>
      <c r="P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x14ac:dyDescent="0.25">
      <c r="B133" s="59"/>
      <c r="I133" s="59"/>
      <c r="J133" s="229"/>
      <c r="K133" s="229"/>
      <c r="L133" s="229"/>
      <c r="M133" s="229"/>
      <c r="N133" s="229"/>
      <c r="O133" s="229"/>
      <c r="P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x14ac:dyDescent="0.25">
      <c r="B134" s="59"/>
      <c r="I134" s="59"/>
      <c r="J134" s="229"/>
      <c r="K134" s="229"/>
      <c r="L134" s="229"/>
      <c r="M134" s="229"/>
      <c r="N134" s="229"/>
      <c r="O134" s="229"/>
      <c r="P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x14ac:dyDescent="0.25">
      <c r="B135" s="59"/>
      <c r="I135" s="59"/>
      <c r="J135" s="229"/>
      <c r="K135" s="229"/>
      <c r="L135" s="229"/>
      <c r="M135" s="229"/>
      <c r="N135" s="229"/>
      <c r="O135" s="229"/>
      <c r="P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x14ac:dyDescent="0.25">
      <c r="B136" s="59"/>
      <c r="I136" s="59"/>
      <c r="J136" s="229"/>
      <c r="K136" s="229"/>
      <c r="L136" s="229"/>
      <c r="M136" s="229"/>
      <c r="N136" s="229"/>
      <c r="O136" s="229"/>
      <c r="P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x14ac:dyDescent="0.25">
      <c r="B137" s="59"/>
      <c r="I137" s="59"/>
      <c r="J137" s="229"/>
      <c r="K137" s="229"/>
      <c r="L137" s="229"/>
      <c r="M137" s="229"/>
      <c r="N137" s="229"/>
      <c r="O137" s="229"/>
      <c r="P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x14ac:dyDescent="0.25">
      <c r="B138" s="59"/>
      <c r="I138" s="59"/>
      <c r="J138" s="229"/>
      <c r="K138" s="229"/>
      <c r="L138" s="229"/>
      <c r="M138" s="229"/>
      <c r="N138" s="229"/>
      <c r="O138" s="229"/>
      <c r="P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x14ac:dyDescent="0.25">
      <c r="B139" s="59"/>
      <c r="I139" s="59"/>
      <c r="J139" s="229"/>
      <c r="K139" s="229"/>
      <c r="L139" s="229"/>
      <c r="M139" s="229"/>
      <c r="N139" s="229"/>
      <c r="O139" s="229"/>
      <c r="P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x14ac:dyDescent="0.25">
      <c r="B140" s="59"/>
      <c r="I140" s="59"/>
      <c r="J140" s="229"/>
      <c r="K140" s="229"/>
      <c r="L140" s="229"/>
      <c r="M140" s="229"/>
      <c r="N140" s="229"/>
      <c r="O140" s="229"/>
      <c r="P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x14ac:dyDescent="0.25">
      <c r="B141" s="59"/>
      <c r="I141" s="59"/>
      <c r="J141" s="229"/>
      <c r="K141" s="229"/>
      <c r="L141" s="229"/>
      <c r="M141" s="229"/>
      <c r="N141" s="229"/>
      <c r="O141" s="229"/>
      <c r="P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x14ac:dyDescent="0.25">
      <c r="B142" s="59"/>
      <c r="I142" s="59"/>
      <c r="J142" s="229"/>
      <c r="K142" s="229"/>
      <c r="L142" s="229"/>
      <c r="M142" s="229"/>
      <c r="N142" s="229"/>
      <c r="O142" s="229"/>
      <c r="P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x14ac:dyDescent="0.25">
      <c r="B143" s="59"/>
      <c r="I143" s="59"/>
      <c r="J143" s="229"/>
      <c r="K143" s="229"/>
      <c r="L143" s="229"/>
      <c r="M143" s="229"/>
      <c r="N143" s="229"/>
      <c r="O143" s="229"/>
      <c r="P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x14ac:dyDescent="0.25">
      <c r="B144" s="59"/>
      <c r="I144" s="59"/>
      <c r="J144" s="229"/>
      <c r="K144" s="229"/>
      <c r="L144" s="229"/>
      <c r="M144" s="229"/>
      <c r="N144" s="229"/>
      <c r="O144" s="229"/>
      <c r="P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x14ac:dyDescent="0.25">
      <c r="B145" s="59"/>
      <c r="I145" s="59"/>
      <c r="J145" s="229"/>
      <c r="K145" s="229"/>
      <c r="L145" s="229"/>
      <c r="M145" s="229"/>
      <c r="N145" s="229"/>
      <c r="O145" s="229"/>
      <c r="P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x14ac:dyDescent="0.25">
      <c r="B146" s="59"/>
      <c r="I146" s="59"/>
      <c r="J146" s="229"/>
      <c r="K146" s="229"/>
      <c r="L146" s="229"/>
      <c r="M146" s="229"/>
      <c r="N146" s="229"/>
      <c r="O146" s="229"/>
      <c r="P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x14ac:dyDescent="0.25">
      <c r="B147" s="59"/>
      <c r="I147" s="59"/>
      <c r="J147" s="229"/>
      <c r="K147" s="229"/>
      <c r="L147" s="229"/>
      <c r="M147" s="229"/>
      <c r="N147" s="229"/>
      <c r="O147" s="229"/>
      <c r="P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x14ac:dyDescent="0.25">
      <c r="B148" s="59"/>
      <c r="I148" s="59"/>
      <c r="J148" s="229"/>
      <c r="K148" s="229"/>
      <c r="L148" s="229"/>
      <c r="M148" s="229"/>
      <c r="N148" s="229"/>
      <c r="O148" s="229"/>
      <c r="P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x14ac:dyDescent="0.25">
      <c r="B149" s="59"/>
      <c r="I149" s="59"/>
      <c r="J149" s="229"/>
      <c r="K149" s="229"/>
      <c r="L149" s="229"/>
      <c r="M149" s="229"/>
      <c r="N149" s="229"/>
      <c r="O149" s="229"/>
      <c r="P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x14ac:dyDescent="0.25">
      <c r="B150" s="59"/>
      <c r="I150" s="59"/>
      <c r="J150" s="229"/>
      <c r="K150" s="229"/>
      <c r="L150" s="229"/>
      <c r="M150" s="229"/>
      <c r="N150" s="229"/>
      <c r="O150" s="229"/>
      <c r="P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x14ac:dyDescent="0.25">
      <c r="B151" s="59"/>
      <c r="I151" s="59"/>
      <c r="J151" s="229"/>
      <c r="K151" s="229"/>
      <c r="L151" s="229"/>
      <c r="M151" s="229"/>
      <c r="N151" s="229"/>
      <c r="O151" s="229"/>
      <c r="P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x14ac:dyDescent="0.25">
      <c r="B152" s="59"/>
      <c r="I152" s="59"/>
      <c r="J152" s="229"/>
      <c r="K152" s="229"/>
      <c r="L152" s="229"/>
      <c r="M152" s="229"/>
      <c r="N152" s="229"/>
      <c r="O152" s="229"/>
      <c r="P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x14ac:dyDescent="0.25">
      <c r="B153" s="59"/>
      <c r="I153" s="59"/>
      <c r="J153" s="229"/>
      <c r="K153" s="229"/>
      <c r="L153" s="229"/>
      <c r="M153" s="229"/>
      <c r="N153" s="229"/>
      <c r="O153" s="229"/>
      <c r="P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x14ac:dyDescent="0.25">
      <c r="B154" s="59"/>
      <c r="I154" s="59"/>
      <c r="J154" s="229"/>
      <c r="K154" s="229"/>
      <c r="L154" s="229"/>
      <c r="M154" s="229"/>
      <c r="N154" s="229"/>
      <c r="O154" s="229"/>
      <c r="P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x14ac:dyDescent="0.25">
      <c r="B155" s="59"/>
      <c r="I155" s="59"/>
      <c r="J155" s="229"/>
      <c r="K155" s="229"/>
      <c r="L155" s="229"/>
      <c r="M155" s="229"/>
      <c r="N155" s="229"/>
      <c r="O155" s="229"/>
      <c r="P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x14ac:dyDescent="0.25">
      <c r="B156" s="59"/>
      <c r="I156" s="59"/>
      <c r="J156" s="229"/>
      <c r="K156" s="229"/>
      <c r="L156" s="229"/>
      <c r="M156" s="229"/>
      <c r="N156" s="229"/>
      <c r="O156" s="229"/>
      <c r="P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x14ac:dyDescent="0.25">
      <c r="B157" s="59"/>
      <c r="I157" s="59"/>
      <c r="J157" s="229"/>
      <c r="K157" s="229"/>
      <c r="L157" s="229"/>
      <c r="M157" s="229"/>
      <c r="N157" s="229"/>
      <c r="O157" s="229"/>
      <c r="P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x14ac:dyDescent="0.25">
      <c r="B158" s="59"/>
      <c r="I158" s="59"/>
      <c r="J158" s="229"/>
      <c r="K158" s="229"/>
      <c r="L158" s="229"/>
      <c r="M158" s="229"/>
      <c r="N158" s="229"/>
      <c r="O158" s="229"/>
      <c r="P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x14ac:dyDescent="0.25">
      <c r="B159" s="59"/>
      <c r="I159" s="59"/>
      <c r="J159" s="229"/>
      <c r="K159" s="229"/>
      <c r="L159" s="229"/>
      <c r="M159" s="229"/>
      <c r="N159" s="229"/>
      <c r="O159" s="229"/>
      <c r="P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x14ac:dyDescent="0.25">
      <c r="B160" s="59"/>
      <c r="I160" s="59"/>
      <c r="J160" s="229"/>
      <c r="K160" s="229"/>
      <c r="L160" s="229"/>
      <c r="M160" s="229"/>
      <c r="N160" s="229"/>
      <c r="O160" s="229"/>
      <c r="P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x14ac:dyDescent="0.25">
      <c r="B161" s="59"/>
      <c r="I161" s="59"/>
      <c r="J161" s="229"/>
      <c r="K161" s="229"/>
      <c r="L161" s="229"/>
      <c r="M161" s="229"/>
      <c r="N161" s="229"/>
      <c r="O161" s="229"/>
      <c r="P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x14ac:dyDescent="0.25">
      <c r="B162" s="59"/>
      <c r="I162" s="59"/>
      <c r="J162" s="229"/>
      <c r="K162" s="229"/>
      <c r="L162" s="229"/>
      <c r="M162" s="229"/>
      <c r="N162" s="229"/>
      <c r="O162" s="229"/>
      <c r="P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x14ac:dyDescent="0.25">
      <c r="B163" s="59"/>
      <c r="I163" s="59"/>
      <c r="J163" s="229"/>
      <c r="K163" s="229"/>
      <c r="L163" s="229"/>
      <c r="M163" s="229"/>
      <c r="N163" s="229"/>
      <c r="O163" s="229"/>
      <c r="P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x14ac:dyDescent="0.25">
      <c r="B164" s="59"/>
      <c r="I164" s="59"/>
      <c r="J164" s="229"/>
      <c r="K164" s="229"/>
      <c r="L164" s="229"/>
      <c r="M164" s="229"/>
      <c r="N164" s="229"/>
      <c r="O164" s="229"/>
      <c r="P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x14ac:dyDescent="0.25">
      <c r="B165" s="59"/>
      <c r="I165" s="59"/>
      <c r="J165" s="229"/>
      <c r="K165" s="229"/>
      <c r="L165" s="229"/>
      <c r="M165" s="229"/>
      <c r="N165" s="229"/>
      <c r="O165" s="229"/>
      <c r="P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x14ac:dyDescent="0.25">
      <c r="B166" s="59"/>
      <c r="I166" s="59"/>
      <c r="J166" s="229"/>
      <c r="K166" s="229"/>
      <c r="L166" s="229"/>
      <c r="M166" s="229"/>
      <c r="N166" s="229"/>
      <c r="O166" s="229"/>
      <c r="P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x14ac:dyDescent="0.25">
      <c r="B167" s="59"/>
      <c r="I167" s="59"/>
      <c r="J167" s="229"/>
      <c r="K167" s="229"/>
      <c r="L167" s="229"/>
      <c r="M167" s="229"/>
      <c r="N167" s="229"/>
      <c r="O167" s="229"/>
      <c r="P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x14ac:dyDescent="0.25">
      <c r="B168" s="59"/>
      <c r="I168" s="59"/>
      <c r="J168" s="229"/>
      <c r="K168" s="229"/>
      <c r="L168" s="229"/>
      <c r="M168" s="229"/>
      <c r="N168" s="229"/>
      <c r="O168" s="229"/>
      <c r="P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x14ac:dyDescent="0.25">
      <c r="B169" s="59"/>
      <c r="I169" s="59"/>
      <c r="J169" s="229"/>
      <c r="K169" s="229"/>
      <c r="L169" s="229"/>
      <c r="M169" s="229"/>
      <c r="N169" s="229"/>
      <c r="O169" s="229"/>
      <c r="P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x14ac:dyDescent="0.25">
      <c r="B170" s="59"/>
      <c r="I170" s="59"/>
      <c r="J170" s="229"/>
      <c r="K170" s="229"/>
      <c r="L170" s="229"/>
      <c r="M170" s="229"/>
      <c r="N170" s="229"/>
      <c r="O170" s="229"/>
      <c r="P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x14ac:dyDescent="0.25">
      <c r="B171" s="59"/>
      <c r="I171" s="59"/>
      <c r="J171" s="229"/>
      <c r="K171" s="229"/>
      <c r="L171" s="229"/>
      <c r="M171" s="229"/>
      <c r="N171" s="229"/>
      <c r="O171" s="229"/>
      <c r="P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x14ac:dyDescent="0.25">
      <c r="B172" s="59"/>
      <c r="I172" s="59"/>
      <c r="J172" s="229"/>
      <c r="K172" s="229"/>
      <c r="L172" s="229"/>
      <c r="M172" s="229"/>
      <c r="N172" s="229"/>
      <c r="O172" s="229"/>
      <c r="P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x14ac:dyDescent="0.25">
      <c r="B173" s="59"/>
      <c r="I173" s="59"/>
      <c r="J173" s="229"/>
      <c r="K173" s="229"/>
      <c r="L173" s="229"/>
      <c r="M173" s="229"/>
      <c r="N173" s="229"/>
      <c r="O173" s="229"/>
      <c r="P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x14ac:dyDescent="0.25">
      <c r="B174" s="59"/>
      <c r="I174" s="59"/>
      <c r="J174" s="229"/>
      <c r="K174" s="229"/>
      <c r="L174" s="229"/>
      <c r="M174" s="229"/>
      <c r="N174" s="229"/>
      <c r="O174" s="229"/>
      <c r="P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x14ac:dyDescent="0.25">
      <c r="B175" s="59"/>
      <c r="I175" s="59"/>
      <c r="J175" s="229"/>
      <c r="K175" s="229"/>
      <c r="L175" s="229"/>
      <c r="M175" s="229"/>
      <c r="N175" s="229"/>
      <c r="O175" s="229"/>
      <c r="P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x14ac:dyDescent="0.25">
      <c r="B176" s="59"/>
      <c r="I176" s="59"/>
      <c r="J176" s="229"/>
      <c r="K176" s="229"/>
      <c r="L176" s="229"/>
      <c r="M176" s="229"/>
      <c r="N176" s="229"/>
      <c r="O176" s="229"/>
      <c r="P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x14ac:dyDescent="0.25">
      <c r="B177" s="59"/>
      <c r="I177" s="59"/>
      <c r="J177" s="229"/>
      <c r="K177" s="229"/>
      <c r="L177" s="229"/>
      <c r="M177" s="229"/>
      <c r="N177" s="229"/>
      <c r="O177" s="229"/>
      <c r="P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x14ac:dyDescent="0.25">
      <c r="B178" s="59"/>
      <c r="I178" s="59"/>
      <c r="J178" s="229"/>
      <c r="K178" s="229"/>
      <c r="L178" s="229"/>
      <c r="M178" s="229"/>
      <c r="N178" s="229"/>
      <c r="O178" s="229"/>
      <c r="P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x14ac:dyDescent="0.25">
      <c r="B179" s="59"/>
      <c r="I179" s="59"/>
      <c r="J179" s="229"/>
      <c r="K179" s="229"/>
      <c r="L179" s="229"/>
      <c r="M179" s="229"/>
      <c r="N179" s="229"/>
      <c r="O179" s="229"/>
      <c r="P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x14ac:dyDescent="0.25">
      <c r="B180" s="59"/>
      <c r="I180" s="59"/>
      <c r="J180" s="229"/>
      <c r="K180" s="229"/>
      <c r="L180" s="229"/>
      <c r="M180" s="229"/>
      <c r="N180" s="229"/>
      <c r="O180" s="229"/>
      <c r="P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x14ac:dyDescent="0.25">
      <c r="B181" s="59"/>
      <c r="I181" s="59"/>
      <c r="J181" s="229"/>
      <c r="K181" s="229"/>
      <c r="L181" s="229"/>
      <c r="M181" s="229"/>
      <c r="N181" s="229"/>
      <c r="O181" s="229"/>
      <c r="P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x14ac:dyDescent="0.25">
      <c r="B182" s="59"/>
      <c r="I182" s="59"/>
      <c r="J182" s="229"/>
      <c r="K182" s="229"/>
      <c r="L182" s="229"/>
      <c r="M182" s="229"/>
      <c r="N182" s="229"/>
      <c r="O182" s="229"/>
      <c r="P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x14ac:dyDescent="0.25">
      <c r="B183" s="59"/>
      <c r="I183" s="59"/>
      <c r="J183" s="229"/>
      <c r="K183" s="229"/>
      <c r="L183" s="229"/>
      <c r="M183" s="229"/>
      <c r="N183" s="229"/>
      <c r="O183" s="229"/>
      <c r="P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x14ac:dyDescent="0.25">
      <c r="B184" s="59"/>
      <c r="I184" s="59"/>
      <c r="J184" s="229"/>
      <c r="K184" s="229"/>
      <c r="L184" s="229"/>
      <c r="M184" s="229"/>
      <c r="N184" s="229"/>
      <c r="O184" s="229"/>
      <c r="P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x14ac:dyDescent="0.25">
      <c r="B185" s="59"/>
      <c r="I185" s="59"/>
      <c r="J185" s="229"/>
      <c r="K185" s="229"/>
      <c r="L185" s="229"/>
      <c r="M185" s="229"/>
      <c r="N185" s="229"/>
      <c r="O185" s="229"/>
      <c r="P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x14ac:dyDescent="0.25">
      <c r="B186" s="59"/>
      <c r="I186" s="59"/>
      <c r="J186" s="229"/>
      <c r="K186" s="229"/>
      <c r="L186" s="229"/>
      <c r="M186" s="229"/>
      <c r="N186" s="229"/>
      <c r="O186" s="229"/>
      <c r="P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x14ac:dyDescent="0.25">
      <c r="B187" s="59"/>
      <c r="I187" s="59"/>
      <c r="J187" s="229"/>
      <c r="K187" s="229"/>
      <c r="L187" s="229"/>
      <c r="M187" s="229"/>
      <c r="N187" s="229"/>
      <c r="O187" s="229"/>
      <c r="P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x14ac:dyDescent="0.25">
      <c r="B188" s="59"/>
      <c r="I188" s="59"/>
      <c r="J188" s="229"/>
      <c r="K188" s="229"/>
      <c r="L188" s="229"/>
      <c r="M188" s="229"/>
      <c r="N188" s="229"/>
      <c r="O188" s="229"/>
      <c r="P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x14ac:dyDescent="0.25">
      <c r="B189" s="59"/>
      <c r="I189" s="59"/>
      <c r="J189" s="229"/>
      <c r="K189" s="229"/>
      <c r="L189" s="229"/>
      <c r="M189" s="229"/>
      <c r="N189" s="229"/>
      <c r="O189" s="229"/>
      <c r="P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x14ac:dyDescent="0.25">
      <c r="B190" s="59"/>
      <c r="I190" s="59"/>
      <c r="J190" s="229"/>
      <c r="K190" s="229"/>
      <c r="L190" s="229"/>
      <c r="M190" s="229"/>
      <c r="N190" s="229"/>
      <c r="O190" s="229"/>
      <c r="P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x14ac:dyDescent="0.25">
      <c r="B191" s="59"/>
      <c r="I191" s="59"/>
      <c r="J191" s="229"/>
      <c r="K191" s="229"/>
      <c r="L191" s="229"/>
      <c r="M191" s="229"/>
      <c r="N191" s="229"/>
      <c r="O191" s="229"/>
      <c r="P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x14ac:dyDescent="0.25">
      <c r="B192" s="59"/>
      <c r="I192" s="59"/>
      <c r="J192" s="229"/>
      <c r="K192" s="229"/>
      <c r="L192" s="229"/>
      <c r="M192" s="229"/>
      <c r="N192" s="229"/>
      <c r="O192" s="229"/>
      <c r="P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x14ac:dyDescent="0.25">
      <c r="B193" s="59"/>
      <c r="I193" s="59"/>
      <c r="J193" s="229"/>
      <c r="K193" s="229"/>
      <c r="L193" s="229"/>
      <c r="M193" s="229"/>
      <c r="N193" s="229"/>
      <c r="O193" s="229"/>
      <c r="P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x14ac:dyDescent="0.25">
      <c r="B194" s="59"/>
      <c r="I194" s="59"/>
      <c r="J194" s="229"/>
      <c r="K194" s="229"/>
      <c r="L194" s="229"/>
      <c r="M194" s="229"/>
      <c r="N194" s="229"/>
      <c r="O194" s="229"/>
      <c r="P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x14ac:dyDescent="0.25">
      <c r="B195" s="59"/>
      <c r="I195" s="59"/>
      <c r="J195" s="229"/>
      <c r="K195" s="229"/>
      <c r="L195" s="229"/>
      <c r="M195" s="229"/>
      <c r="N195" s="229"/>
      <c r="O195" s="229"/>
      <c r="P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x14ac:dyDescent="0.25">
      <c r="B196" s="59"/>
      <c r="I196" s="59"/>
      <c r="J196" s="229"/>
      <c r="K196" s="229"/>
      <c r="L196" s="229"/>
      <c r="M196" s="229"/>
      <c r="N196" s="229"/>
      <c r="O196" s="229"/>
      <c r="P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x14ac:dyDescent="0.25">
      <c r="B197" s="59"/>
      <c r="I197" s="59"/>
      <c r="J197" s="229"/>
      <c r="K197" s="229"/>
      <c r="L197" s="229"/>
      <c r="M197" s="229"/>
      <c r="N197" s="229"/>
      <c r="O197" s="229"/>
      <c r="P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x14ac:dyDescent="0.25">
      <c r="B198" s="59"/>
      <c r="I198" s="59"/>
      <c r="J198" s="229"/>
      <c r="K198" s="229"/>
      <c r="L198" s="229"/>
      <c r="M198" s="229"/>
      <c r="N198" s="229"/>
      <c r="O198" s="229"/>
      <c r="P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x14ac:dyDescent="0.25">
      <c r="B199" s="59"/>
      <c r="I199" s="59"/>
      <c r="J199" s="229"/>
      <c r="K199" s="229"/>
      <c r="L199" s="229"/>
      <c r="M199" s="229"/>
      <c r="N199" s="229"/>
      <c r="O199" s="229"/>
      <c r="P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hidden="1" customHeight="1" x14ac:dyDescent="0.25">
      <c r="B200" s="59"/>
      <c r="I200" s="59"/>
      <c r="J200" s="229"/>
      <c r="K200" s="229"/>
      <c r="L200" s="229"/>
      <c r="M200" s="229"/>
      <c r="N200" s="229"/>
      <c r="O200" s="229"/>
      <c r="P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2:44" ht="15.95" hidden="1" customHeight="1" x14ac:dyDescent="0.25">
      <c r="B201" s="59"/>
      <c r="I201" s="59"/>
      <c r="J201" s="229"/>
      <c r="K201" s="229"/>
      <c r="L201" s="229"/>
      <c r="M201" s="229"/>
      <c r="N201" s="229"/>
      <c r="O201" s="229"/>
      <c r="P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2:44" ht="15.95" hidden="1" customHeight="1" x14ac:dyDescent="0.25">
      <c r="B202" s="59"/>
      <c r="I202" s="59"/>
      <c r="J202" s="229"/>
      <c r="K202" s="229"/>
      <c r="L202" s="229"/>
      <c r="M202" s="229"/>
      <c r="N202" s="229"/>
      <c r="O202" s="22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2:44" ht="15.95" customHeight="1" x14ac:dyDescent="0.25">
      <c r="B203" s="60" t="e">
        <f>FOOT1</f>
        <v>#REF!</v>
      </c>
      <c r="C203" s="60"/>
      <c r="D203" s="60"/>
      <c r="E203" s="60"/>
      <c r="F203" s="60"/>
      <c r="G203" s="60"/>
      <c r="H203" s="60"/>
      <c r="I203" s="60"/>
      <c r="J203" s="60"/>
      <c r="K203" s="60"/>
      <c r="L203" s="60"/>
      <c r="M203" s="496" t="e">
        <f>FOOTDISCLAIM</f>
        <v>#REF!</v>
      </c>
      <c r="N203" s="496"/>
      <c r="O203" s="496"/>
      <c r="P203" s="496"/>
      <c r="Q203" s="496"/>
      <c r="R203" s="496"/>
      <c r="S203" s="496"/>
      <c r="T203" s="496"/>
      <c r="U203" s="496"/>
      <c r="V203" s="496"/>
      <c r="W203" s="496"/>
      <c r="X203" s="496"/>
      <c r="Y203" s="496"/>
      <c r="Z203" s="496"/>
      <c r="AA203" s="496"/>
      <c r="AB203" s="496"/>
      <c r="AC203" s="496"/>
      <c r="AD203" s="496"/>
      <c r="AE203" s="496"/>
      <c r="AF203" s="496"/>
      <c r="AG203" s="496"/>
      <c r="AH203" s="60"/>
      <c r="AI203" s="60"/>
      <c r="AJ203" s="60"/>
      <c r="AK203" s="60"/>
      <c r="AL203" s="60"/>
      <c r="AM203" s="60"/>
      <c r="AN203" s="60"/>
      <c r="AO203" s="60"/>
      <c r="AP203" s="60"/>
      <c r="AQ203" s="60"/>
      <c r="AR203" s="125" t="e">
        <f>FOOT4</f>
        <v>#REF!</v>
      </c>
    </row>
    <row r="204" spans="2:44" ht="15.95" customHeight="1" x14ac:dyDescent="0.25">
      <c r="B204" s="60" t="e">
        <f>FOOT2</f>
        <v>#REF!</v>
      </c>
      <c r="C204" s="60"/>
      <c r="D204" s="60"/>
      <c r="E204" s="60"/>
      <c r="F204" s="60"/>
      <c r="G204" s="60"/>
      <c r="H204" s="60"/>
      <c r="I204" s="60"/>
      <c r="J204" s="60"/>
      <c r="K204" s="60"/>
      <c r="L204" s="60"/>
      <c r="M204" s="496"/>
      <c r="N204" s="496"/>
      <c r="O204" s="496"/>
      <c r="P204" s="496"/>
      <c r="Q204" s="496"/>
      <c r="R204" s="496"/>
      <c r="S204" s="496"/>
      <c r="T204" s="496"/>
      <c r="U204" s="496"/>
      <c r="V204" s="496"/>
      <c r="W204" s="496"/>
      <c r="X204" s="496"/>
      <c r="Y204" s="496"/>
      <c r="Z204" s="496"/>
      <c r="AA204" s="496"/>
      <c r="AB204" s="496"/>
      <c r="AC204" s="496"/>
      <c r="AD204" s="496"/>
      <c r="AE204" s="496"/>
      <c r="AF204" s="496"/>
      <c r="AG204" s="496"/>
      <c r="AH204" s="60"/>
      <c r="AI204" s="60"/>
      <c r="AJ204" s="60"/>
      <c r="AK204" s="60"/>
      <c r="AL204" s="60"/>
      <c r="AM204" s="60"/>
      <c r="AN204" s="60"/>
      <c r="AO204" s="60"/>
      <c r="AP204" s="60"/>
      <c r="AQ204" s="60"/>
      <c r="AR204" s="125" t="e">
        <f>FOOT5</f>
        <v>#REF!</v>
      </c>
    </row>
    <row r="205" spans="2:44" ht="15.95" customHeight="1" x14ac:dyDescent="0.25">
      <c r="B205" s="153" t="e">
        <f>FOOT3</f>
        <v>#REF!</v>
      </c>
      <c r="C205" s="60"/>
      <c r="D205" s="60"/>
      <c r="E205" s="60"/>
      <c r="F205" s="60"/>
      <c r="G205" s="60"/>
      <c r="H205" s="60"/>
      <c r="I205" s="60"/>
      <c r="J205" s="60"/>
      <c r="K205" s="60"/>
      <c r="L205" s="60"/>
      <c r="M205" s="62"/>
      <c r="N205" s="60"/>
      <c r="O205" s="60"/>
      <c r="P205" s="62"/>
      <c r="Q205" s="62"/>
      <c r="R205" s="62"/>
      <c r="S205" s="62"/>
      <c r="T205" s="62"/>
      <c r="U205" s="62"/>
      <c r="V205" s="62"/>
      <c r="W205" s="63" t="str">
        <f>VERSION</f>
        <v>Lighting One-Page 2.3.0</v>
      </c>
      <c r="X205" s="62"/>
      <c r="Y205" s="62"/>
      <c r="Z205" s="62"/>
      <c r="AA205" s="62"/>
      <c r="AB205" s="62"/>
      <c r="AC205" s="62"/>
      <c r="AD205" s="62"/>
      <c r="AE205" s="60"/>
      <c r="AF205" s="60"/>
      <c r="AG205" s="60"/>
      <c r="AH205" s="60"/>
      <c r="AI205" s="60"/>
      <c r="AJ205" s="60"/>
      <c r="AK205" s="60"/>
      <c r="AL205" s="60"/>
      <c r="AM205" s="60"/>
      <c r="AN205" s="60"/>
      <c r="AO205" s="60"/>
      <c r="AP205" s="60"/>
      <c r="AQ205" s="60"/>
      <c r="AR205" s="125" t="e">
        <f>FOOT6</f>
        <v>#REF!</v>
      </c>
    </row>
  </sheetData>
  <sheetProtection algorithmName="SHA-512" hashValue="cTY6Q/O88BO033tHdoSYd6Q8kQRbu659GJY2KiPPyDfHQu2K+PkMKhigGCOZfFSUxZa7MdClOmxxhB2YRwwxow==" saltValue="0WQOj0HXe+rGR70zeuBgUw==" spinCount="100000" sheet="1" objects="1" scenarios="1" selectLockedCells="1"/>
  <mergeCells count="38">
    <mergeCell ref="AH1:AK1"/>
    <mergeCell ref="AL1:AP1"/>
    <mergeCell ref="AQ1:AR1"/>
    <mergeCell ref="N14:U14"/>
    <mergeCell ref="X14:AE14"/>
    <mergeCell ref="Q1:R1"/>
    <mergeCell ref="U1:V1"/>
    <mergeCell ref="Y1:Z1"/>
    <mergeCell ref="AH2:AK3"/>
    <mergeCell ref="AL2:AP3"/>
    <mergeCell ref="AQ2:AR3"/>
    <mergeCell ref="K10:AI10"/>
    <mergeCell ref="M11:AG12"/>
    <mergeCell ref="N15:U16"/>
    <mergeCell ref="X15:AE16"/>
    <mergeCell ref="M203:AG204"/>
    <mergeCell ref="N28:U29"/>
    <mergeCell ref="X28:AE29"/>
    <mergeCell ref="N31:U31"/>
    <mergeCell ref="X31:AE31"/>
    <mergeCell ref="N27:U27"/>
    <mergeCell ref="X27:AE27"/>
    <mergeCell ref="J19:Q19"/>
    <mergeCell ref="S19:Z19"/>
    <mergeCell ref="AB19:AI19"/>
    <mergeCell ref="J20:Q21"/>
    <mergeCell ref="S20:Z21"/>
    <mergeCell ref="AB20:AI21"/>
    <mergeCell ref="O18:AD18"/>
    <mergeCell ref="J35:AI35"/>
    <mergeCell ref="S36:Z37"/>
    <mergeCell ref="O38:AD38"/>
    <mergeCell ref="N23:U23"/>
    <mergeCell ref="X23:AE23"/>
    <mergeCell ref="N24:U25"/>
    <mergeCell ref="X24:AE25"/>
    <mergeCell ref="N32:U33"/>
    <mergeCell ref="X32:AE33"/>
  </mergeCells>
  <conditionalFormatting sqref="AH2 AL2">
    <cfRule type="expression" dxfId="57" priority="1">
      <formula>PROJSTATUS=PROJSTATELI</formula>
    </cfRule>
    <cfRule type="expression" dxfId="56" priority="2">
      <formula>PROJSTATUS=PROJSTATREVIEW</formula>
    </cfRule>
    <cfRule type="expression" dxfId="55" priority="3">
      <formula>PROJSTATUS=PROJSTATPREAPPROVE</formula>
    </cfRule>
    <cfRule type="expression" dxfId="54" priority="4">
      <formula>PROJSTATUS=PROJSTATSTANDARD</formula>
    </cfRule>
    <cfRule type="expression" dxfId="53" priority="5">
      <formula>PROJSTATUS=PROJSTATEXP</formula>
    </cfRule>
  </conditionalFormatting>
  <conditionalFormatting sqref="AQ2:AR3">
    <cfRule type="cellIs" dxfId="52" priority="6" operator="equal">
      <formula>1</formula>
    </cfRule>
    <cfRule type="cellIs" dxfId="51" priority="7" operator="between">
      <formula>0.51</formula>
      <formula>0.99</formula>
    </cfRule>
    <cfRule type="cellIs" dxfId="50" priority="8" operator="lessThanOrEqual">
      <formula>0.5</formula>
    </cfRule>
  </conditionalFormatting>
  <dataValidations count="3">
    <dataValidation type="decimal" operator="greaterThan" allowBlank="1" showInputMessage="1" showErrorMessage="1" sqref="J20:Q21" xr:uid="{89CEB78E-2C58-4EF1-B298-31D70B0FADEC}">
      <formula1>0</formula1>
    </dataValidation>
    <dataValidation type="decimal" allowBlank="1" showInputMessage="1" showErrorMessage="1" sqref="S20:Z21" xr:uid="{992696D2-68AB-4DAD-A458-09770D7252EE}">
      <formula1>0</formula1>
      <formula2>1</formula2>
    </dataValidation>
    <dataValidation type="whole" operator="greaterThan" allowBlank="1" showInputMessage="1" showErrorMessage="1" sqref="AB20:AI21" xr:uid="{307B525B-B1D3-4927-87AA-6ED8E326B014}">
      <formula1>0</formula1>
    </dataValidation>
  </dataValidations>
  <hyperlinks>
    <hyperlink ref="B205" r:id="rId1" display="NIPSCO.Savings@LMCO.com" xr:uid="{15F44576-7CB2-4595-B534-4FB9E972E53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536" t="e">
        <f>IF(OR(#REF!&lt;&gt;0,#REF!&lt;&gt;0,#REF!&lt;&gt;0,#REF!&lt;&gt;0,#REF!&lt;&gt;0,#REF!&lt;&gt; 0),"P","")</f>
        <v>#REF!</v>
      </c>
      <c r="R1" s="536"/>
      <c r="U1" s="537" t="e">
        <f>IF(OR(#REF!&lt;&gt;0,#REF!&lt;&gt;0,#REF!&lt;&gt;0,#REF!&lt;&gt;0,#REF!&lt;&gt;0,#REF!&gt;0,#REF!&gt;0),"P","")</f>
        <v>#REF!</v>
      </c>
      <c r="V1" s="537"/>
      <c r="Y1" s="537" t="e">
        <f>IF(OR(#REF!&lt;&gt;0,#REF!&lt;&gt;0,#REF!&lt;&gt;0,#REF!&lt;&gt;0,#REF!&lt;&gt;0,#REF!&lt;&gt;0,#REF!&lt;&gt;0),"P","")</f>
        <v>#REF!</v>
      </c>
      <c r="Z1" s="537"/>
      <c r="AH1" s="628" t="s">
        <v>370</v>
      </c>
      <c r="AI1" s="629"/>
      <c r="AJ1" s="629"/>
      <c r="AK1" s="629"/>
      <c r="AL1" s="630" t="s">
        <v>723</v>
      </c>
      <c r="AM1" s="630"/>
      <c r="AN1" s="630"/>
      <c r="AO1" s="630"/>
      <c r="AP1" s="630"/>
      <c r="AQ1" s="622" t="s">
        <v>373</v>
      </c>
      <c r="AR1" s="623"/>
    </row>
    <row r="2" spans="2:44" ht="15.95" customHeight="1" x14ac:dyDescent="0.25">
      <c r="AH2" s="547" t="str">
        <f>INCENSTATUS</f>
        <v>---</v>
      </c>
      <c r="AI2" s="548"/>
      <c r="AJ2" s="548"/>
      <c r="AK2" s="548"/>
      <c r="AL2" s="551" t="str">
        <f ca="1">PROJSTATUS</f>
        <v>Enter Measures</v>
      </c>
      <c r="AM2" s="551"/>
      <c r="AN2" s="551"/>
      <c r="AO2" s="551"/>
      <c r="AP2" s="551"/>
      <c r="AQ2" s="624">
        <f ca="1">PROGRESSSTATUS</f>
        <v>0</v>
      </c>
      <c r="AR2" s="625"/>
    </row>
    <row r="3" spans="2:44" ht="15.95" customHeight="1" x14ac:dyDescent="0.25">
      <c r="AH3" s="549"/>
      <c r="AI3" s="550"/>
      <c r="AJ3" s="550"/>
      <c r="AK3" s="550"/>
      <c r="AL3" s="552"/>
      <c r="AM3" s="552"/>
      <c r="AN3" s="552"/>
      <c r="AO3" s="552"/>
      <c r="AP3" s="552"/>
      <c r="AQ3" s="626"/>
      <c r="AR3" s="627"/>
    </row>
    <row r="4" spans="2:44" ht="15.95" customHeight="1" x14ac:dyDescent="0.25"/>
    <row r="5" spans="2:44" ht="15.95" customHeight="1" x14ac:dyDescent="0.25"/>
    <row r="6" spans="2:44" ht="15.95" customHeight="1" x14ac:dyDescent="0.25">
      <c r="C6" s="32"/>
    </row>
    <row r="7" spans="2:44" ht="15.95" customHeight="1" x14ac:dyDescent="0.25"/>
    <row r="8" spans="2:44" ht="15.95" customHeight="1" x14ac:dyDescent="0.25"/>
    <row r="9" spans="2:44" ht="15.95" customHeight="1" x14ac:dyDescent="0.25">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x14ac:dyDescent="0.3">
      <c r="B10" s="59"/>
      <c r="C10" s="59"/>
      <c r="D10" s="59"/>
      <c r="E10" s="59"/>
      <c r="F10" s="538" t="s">
        <v>78</v>
      </c>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9"/>
      <c r="AP10" s="59"/>
      <c r="AQ10" s="59"/>
      <c r="AR10" s="59"/>
    </row>
    <row r="11" spans="2:44" ht="15.95" customHeight="1" x14ac:dyDescent="0.25">
      <c r="B11" s="59"/>
      <c r="C11" s="59"/>
      <c r="D11" s="59"/>
      <c r="E11" s="59"/>
      <c r="F11" s="617" t="s">
        <v>1101</v>
      </c>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617"/>
      <c r="AM11" s="617"/>
      <c r="AN11" s="617"/>
      <c r="AO11" s="59"/>
      <c r="AP11" s="59"/>
      <c r="AQ11" s="59"/>
      <c r="AR11" s="59"/>
    </row>
    <row r="12" spans="2:44" ht="15.95" customHeight="1" x14ac:dyDescent="0.25">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x14ac:dyDescent="0.25">
      <c r="B13" s="59"/>
      <c r="C13" s="70" t="s">
        <v>354</v>
      </c>
      <c r="D13" s="68"/>
      <c r="E13" s="68"/>
      <c r="F13" s="68"/>
      <c r="G13" s="68"/>
      <c r="H13" s="68"/>
      <c r="I13" s="68"/>
      <c r="J13" s="68"/>
      <c r="K13" s="68"/>
      <c r="L13" s="68"/>
      <c r="M13" s="68"/>
      <c r="N13" s="69"/>
      <c r="O13" s="59"/>
      <c r="P13" s="59"/>
      <c r="Q13" s="70" t="s">
        <v>355</v>
      </c>
      <c r="R13" s="68"/>
      <c r="S13" s="68"/>
      <c r="T13" s="68"/>
      <c r="U13" s="68"/>
      <c r="V13" s="68"/>
      <c r="W13" s="68"/>
      <c r="X13" s="68"/>
      <c r="Y13" s="68"/>
      <c r="Z13" s="68"/>
      <c r="AA13" s="68"/>
      <c r="AB13" s="68"/>
      <c r="AC13" s="69"/>
      <c r="AD13" s="59"/>
      <c r="AE13" s="59"/>
      <c r="AF13" s="70" t="s">
        <v>356</v>
      </c>
      <c r="AG13" s="68"/>
      <c r="AH13" s="68"/>
      <c r="AI13" s="68"/>
      <c r="AJ13" s="68"/>
      <c r="AK13" s="68"/>
      <c r="AL13" s="68"/>
      <c r="AM13" s="68"/>
      <c r="AN13" s="68"/>
      <c r="AO13" s="68"/>
      <c r="AP13" s="68"/>
      <c r="AQ13" s="69"/>
      <c r="AR13" s="59"/>
    </row>
    <row r="14" spans="2:44" ht="15.95" customHeight="1" x14ac:dyDescent="0.25">
      <c r="B14" s="59"/>
      <c r="C14" s="65"/>
      <c r="D14" s="59"/>
      <c r="E14" s="59"/>
      <c r="F14" s="59"/>
      <c r="G14" s="59"/>
      <c r="H14" s="59"/>
      <c r="I14" s="59"/>
      <c r="J14" s="59"/>
      <c r="K14" s="59"/>
      <c r="L14" s="59"/>
      <c r="M14" s="59"/>
      <c r="N14" s="66"/>
      <c r="O14" s="59"/>
      <c r="P14" s="59"/>
      <c r="Q14" s="65"/>
      <c r="R14" s="59"/>
      <c r="S14" s="59"/>
      <c r="T14" s="59"/>
      <c r="U14" s="59"/>
      <c r="V14" s="59"/>
      <c r="W14" s="59"/>
      <c r="X14" s="59"/>
      <c r="Y14" s="59"/>
      <c r="Z14" s="59"/>
      <c r="AA14" s="59"/>
      <c r="AB14" s="59"/>
      <c r="AC14" s="66"/>
      <c r="AD14" s="59"/>
      <c r="AE14" s="59"/>
      <c r="AF14" s="65"/>
      <c r="AG14" s="59"/>
      <c r="AH14" s="59"/>
      <c r="AI14" s="59"/>
      <c r="AJ14" s="59"/>
      <c r="AK14" s="59"/>
      <c r="AL14" s="59"/>
      <c r="AM14" s="59"/>
      <c r="AN14" s="59"/>
      <c r="AO14" s="59"/>
      <c r="AP14" s="59"/>
      <c r="AQ14" s="66"/>
      <c r="AR14" s="59"/>
    </row>
    <row r="15" spans="2:44" ht="15.95" customHeight="1" x14ac:dyDescent="0.25">
      <c r="B15" s="59"/>
      <c r="C15" s="87" t="s">
        <v>358</v>
      </c>
      <c r="D15" s="618" t="s">
        <v>842</v>
      </c>
      <c r="E15" s="618"/>
      <c r="F15" s="618"/>
      <c r="G15" s="618"/>
      <c r="H15" s="618"/>
      <c r="I15" s="618"/>
      <c r="J15" s="618"/>
      <c r="K15" s="619" t="e">
        <f>IF(TEMPLATE!#REF!/TEMPLATE!#REF!=1,"Completed",IF(TEMPLATE!#REF!/TEMPLATE!#REF!&gt;0.7,"Almost!","Incomplete"))</f>
        <v>#REF!</v>
      </c>
      <c r="L15" s="619"/>
      <c r="M15" s="619"/>
      <c r="N15" s="84"/>
      <c r="O15" s="59"/>
      <c r="P15" s="59"/>
      <c r="Q15" s="67" t="s">
        <v>358</v>
      </c>
      <c r="R15" s="59" t="s">
        <v>363</v>
      </c>
      <c r="S15" s="59"/>
      <c r="T15" s="59"/>
      <c r="U15" s="59"/>
      <c r="V15" s="59"/>
      <c r="W15" s="59"/>
      <c r="X15" s="59"/>
      <c r="Y15" s="59"/>
      <c r="Z15" s="59"/>
      <c r="AA15" s="59"/>
      <c r="AB15" s="59"/>
      <c r="AC15" s="66"/>
      <c r="AD15" s="59"/>
      <c r="AE15" s="59"/>
      <c r="AF15" s="67" t="s">
        <v>358</v>
      </c>
      <c r="AG15" s="610" t="s">
        <v>1135</v>
      </c>
      <c r="AH15" s="610"/>
      <c r="AI15" s="610"/>
      <c r="AJ15" s="610"/>
      <c r="AK15" s="610"/>
      <c r="AL15" s="610"/>
      <c r="AM15" s="610"/>
      <c r="AN15" s="610"/>
      <c r="AO15" s="610"/>
      <c r="AP15" s="610"/>
      <c r="AQ15" s="611"/>
      <c r="AR15" s="59"/>
    </row>
    <row r="16" spans="2:44" ht="15.95" customHeight="1" x14ac:dyDescent="0.25">
      <c r="B16" s="59"/>
      <c r="C16" s="85"/>
      <c r="D16" s="618"/>
      <c r="E16" s="618"/>
      <c r="F16" s="618"/>
      <c r="G16" s="618"/>
      <c r="H16" s="618"/>
      <c r="I16" s="618"/>
      <c r="J16" s="618"/>
      <c r="K16" s="619"/>
      <c r="L16" s="619"/>
      <c r="M16" s="619"/>
      <c r="N16" s="86"/>
      <c r="O16" s="59"/>
      <c r="P16" s="59"/>
      <c r="Q16" s="82"/>
      <c r="Z16" s="59"/>
      <c r="AA16" s="59"/>
      <c r="AB16" s="59"/>
      <c r="AC16" s="66"/>
      <c r="AD16" s="59"/>
      <c r="AE16" s="59"/>
      <c r="AF16" s="67"/>
      <c r="AG16" s="610"/>
      <c r="AH16" s="610"/>
      <c r="AI16" s="610"/>
      <c r="AJ16" s="610"/>
      <c r="AK16" s="610"/>
      <c r="AL16" s="610"/>
      <c r="AM16" s="610"/>
      <c r="AN16" s="610"/>
      <c r="AO16" s="610"/>
      <c r="AP16" s="610"/>
      <c r="AQ16" s="611"/>
      <c r="AR16" s="59"/>
    </row>
    <row r="17" spans="2:44" ht="15.95" customHeight="1" x14ac:dyDescent="0.25">
      <c r="B17" s="59"/>
      <c r="C17" s="82"/>
      <c r="N17" s="83"/>
      <c r="O17" s="59"/>
      <c r="P17" s="59"/>
      <c r="Q17" s="67" t="s">
        <v>359</v>
      </c>
      <c r="R17" s="59" t="s">
        <v>364</v>
      </c>
      <c r="S17" s="59"/>
      <c r="T17" s="59"/>
      <c r="U17" s="59"/>
      <c r="V17" s="59"/>
      <c r="W17" s="59"/>
      <c r="X17" s="59"/>
      <c r="Y17" s="59"/>
      <c r="Z17" s="59"/>
      <c r="AA17" s="59"/>
      <c r="AB17" s="59"/>
      <c r="AC17" s="66"/>
      <c r="AD17" s="59"/>
      <c r="AE17" s="59"/>
      <c r="AF17" s="65"/>
      <c r="AG17" s="610"/>
      <c r="AH17" s="610"/>
      <c r="AI17" s="610"/>
      <c r="AJ17" s="610"/>
      <c r="AK17" s="610"/>
      <c r="AL17" s="610"/>
      <c r="AM17" s="610"/>
      <c r="AN17" s="610"/>
      <c r="AO17" s="610"/>
      <c r="AP17" s="610"/>
      <c r="AQ17" s="611"/>
      <c r="AR17" s="59"/>
    </row>
    <row r="18" spans="2:44" ht="15.95" customHeight="1" x14ac:dyDescent="0.25">
      <c r="B18" s="59"/>
      <c r="C18" s="87" t="s">
        <v>359</v>
      </c>
      <c r="D18" s="621" t="s">
        <v>65</v>
      </c>
      <c r="E18" s="621"/>
      <c r="F18" s="621"/>
      <c r="G18" s="621"/>
      <c r="H18" s="621"/>
      <c r="I18" s="621"/>
      <c r="J18" s="621"/>
      <c r="K18" s="619" t="e">
        <f ca="1">IF(TEMPLATE!A92/TEMPLATE!#REF!=1,"Completed",IF(TEMPLATE!A92/TEMPLATE!#REF!&gt;0.7,"Almost!","Incomplete"))</f>
        <v>#REF!</v>
      </c>
      <c r="L18" s="619"/>
      <c r="M18" s="619"/>
      <c r="N18" s="84"/>
      <c r="O18" s="59"/>
      <c r="P18" s="59"/>
      <c r="Q18" s="67"/>
      <c r="R18" s="59" t="s">
        <v>977</v>
      </c>
      <c r="U18" s="59"/>
      <c r="V18" s="59"/>
      <c r="W18" s="59"/>
      <c r="X18" s="59"/>
      <c r="Y18" s="59"/>
      <c r="Z18" s="59"/>
      <c r="AA18" s="59"/>
      <c r="AB18" s="59"/>
      <c r="AC18" s="66"/>
      <c r="AD18" s="59"/>
      <c r="AE18" s="59"/>
      <c r="AF18" s="67" t="s">
        <v>359</v>
      </c>
      <c r="AG18" s="631" t="s">
        <v>1728</v>
      </c>
      <c r="AH18" s="610"/>
      <c r="AI18" s="610"/>
      <c r="AJ18" s="610"/>
      <c r="AK18" s="610"/>
      <c r="AL18" s="610"/>
      <c r="AM18" s="610"/>
      <c r="AN18" s="610"/>
      <c r="AO18" s="610"/>
      <c r="AP18" s="610"/>
      <c r="AQ18" s="611"/>
      <c r="AR18" s="59"/>
    </row>
    <row r="19" spans="2:44" ht="15.95" customHeight="1" x14ac:dyDescent="0.25">
      <c r="B19" s="59"/>
      <c r="C19" s="82"/>
      <c r="N19" s="83"/>
      <c r="O19" s="59"/>
      <c r="P19" s="59"/>
      <c r="Q19" s="67"/>
      <c r="R19" s="59" t="s">
        <v>1172</v>
      </c>
      <c r="U19" s="59"/>
      <c r="V19" s="59"/>
      <c r="W19" s="59"/>
      <c r="X19" s="59"/>
      <c r="Y19" s="59"/>
      <c r="Z19" s="59"/>
      <c r="AA19" s="59"/>
      <c r="AB19" s="59"/>
      <c r="AC19" s="66"/>
      <c r="AD19" s="59"/>
      <c r="AE19" s="59"/>
      <c r="AF19" s="65"/>
      <c r="AG19" s="610"/>
      <c r="AH19" s="610"/>
      <c r="AI19" s="610"/>
      <c r="AJ19" s="610"/>
      <c r="AK19" s="610"/>
      <c r="AL19" s="610"/>
      <c r="AM19" s="610"/>
      <c r="AN19" s="610"/>
      <c r="AO19" s="610"/>
      <c r="AP19" s="610"/>
      <c r="AQ19" s="611"/>
      <c r="AR19" s="59"/>
    </row>
    <row r="20" spans="2:44" ht="15.95" customHeight="1" x14ac:dyDescent="0.25">
      <c r="B20" s="59"/>
      <c r="C20" s="87" t="s">
        <v>360</v>
      </c>
      <c r="D20" s="621" t="s">
        <v>84</v>
      </c>
      <c r="E20" s="621"/>
      <c r="F20" s="621"/>
      <c r="G20" s="621"/>
      <c r="H20" s="621"/>
      <c r="I20" s="621"/>
      <c r="J20" s="621"/>
      <c r="K20" s="619" t="e">
        <f ca="1">IF(TEMPLATE!A72/TEMPLATE!#REF!=1,"Completed",IF(TEMPLATE!A72/TEMPLATE!#REF!&gt;0.7,"Almost!","Incomplete"))</f>
        <v>#REF!</v>
      </c>
      <c r="L20" s="619"/>
      <c r="M20" s="619"/>
      <c r="N20" s="84"/>
      <c r="O20" s="59"/>
      <c r="P20" s="59"/>
      <c r="Q20" s="67"/>
      <c r="R20" s="59" t="s">
        <v>759</v>
      </c>
      <c r="U20" s="59"/>
      <c r="V20" s="59"/>
      <c r="W20" s="59"/>
      <c r="X20" s="59"/>
      <c r="Y20" s="59"/>
      <c r="Z20" s="59"/>
      <c r="AA20" s="59"/>
      <c r="AB20" s="59"/>
      <c r="AC20" s="66"/>
      <c r="AD20" s="59"/>
      <c r="AE20" s="59"/>
      <c r="AF20" s="65"/>
      <c r="AG20" s="610"/>
      <c r="AH20" s="610"/>
      <c r="AI20" s="610"/>
      <c r="AJ20" s="610"/>
      <c r="AK20" s="610"/>
      <c r="AL20" s="610"/>
      <c r="AM20" s="610"/>
      <c r="AN20" s="610"/>
      <c r="AO20" s="610"/>
      <c r="AP20" s="610"/>
      <c r="AQ20" s="611"/>
      <c r="AR20" s="59"/>
    </row>
    <row r="21" spans="2:44" ht="15.95" customHeight="1" x14ac:dyDescent="0.25">
      <c r="B21" s="59"/>
      <c r="C21" s="82"/>
      <c r="N21" s="83"/>
      <c r="O21" s="59"/>
      <c r="P21" s="59"/>
      <c r="Q21" s="82"/>
      <c r="R21" s="59" t="s">
        <v>760</v>
      </c>
      <c r="S21" s="59"/>
      <c r="T21" s="59"/>
      <c r="AC21" s="83"/>
      <c r="AD21" s="59"/>
      <c r="AE21" s="59"/>
      <c r="AF21" s="65"/>
      <c r="AG21" s="610"/>
      <c r="AH21" s="610"/>
      <c r="AI21" s="610"/>
      <c r="AJ21" s="610"/>
      <c r="AK21" s="610"/>
      <c r="AL21" s="610"/>
      <c r="AM21" s="610"/>
      <c r="AN21" s="610"/>
      <c r="AO21" s="610"/>
      <c r="AP21" s="610"/>
      <c r="AQ21" s="611"/>
      <c r="AR21" s="59"/>
    </row>
    <row r="22" spans="2:44" ht="15.95" customHeight="1" x14ac:dyDescent="0.25">
      <c r="B22" s="59"/>
      <c r="C22" s="87" t="s">
        <v>361</v>
      </c>
      <c r="D22" s="621" t="s">
        <v>63</v>
      </c>
      <c r="E22" s="621"/>
      <c r="F22" s="621"/>
      <c r="G22" s="621"/>
      <c r="H22" s="621"/>
      <c r="I22" s="621"/>
      <c r="J22" s="621"/>
      <c r="K22" s="619" t="e">
        <f>IF(TEMPLATE!#REF!/TEMPLATE!#REF!=1,"Completed",IF(TEMPLATE!#REF!/TEMPLATE!#REF!&gt;0.7,"Almost!","Incomplete"))</f>
        <v>#REF!</v>
      </c>
      <c r="L22" s="619"/>
      <c r="M22" s="619"/>
      <c r="N22" s="84"/>
      <c r="O22" s="59"/>
      <c r="P22" s="59"/>
      <c r="Q22" s="82"/>
      <c r="R22" s="59" t="s">
        <v>758</v>
      </c>
      <c r="S22" s="59"/>
      <c r="T22" s="59"/>
      <c r="AC22" s="83"/>
      <c r="AD22" s="59"/>
      <c r="AE22" s="59"/>
      <c r="AF22" s="65"/>
      <c r="AG22" s="610"/>
      <c r="AH22" s="610"/>
      <c r="AI22" s="610"/>
      <c r="AJ22" s="610"/>
      <c r="AK22" s="610"/>
      <c r="AL22" s="610"/>
      <c r="AM22" s="610"/>
      <c r="AN22" s="610"/>
      <c r="AO22" s="610"/>
      <c r="AP22" s="610"/>
      <c r="AQ22" s="611"/>
      <c r="AR22" s="59"/>
    </row>
    <row r="23" spans="2:44" ht="15.95" customHeight="1" x14ac:dyDescent="0.25">
      <c r="B23" s="59"/>
      <c r="C23" s="82"/>
      <c r="N23" s="83"/>
      <c r="O23" s="59"/>
      <c r="P23" s="59"/>
      <c r="Q23" s="82"/>
      <c r="R23" s="251" t="s">
        <v>1533</v>
      </c>
      <c r="AC23" s="83"/>
      <c r="AD23" s="59"/>
      <c r="AE23" s="59"/>
      <c r="AF23" s="67" t="s">
        <v>360</v>
      </c>
      <c r="AG23" s="620" t="s">
        <v>1532</v>
      </c>
      <c r="AH23" s="610"/>
      <c r="AI23" s="610"/>
      <c r="AJ23" s="610"/>
      <c r="AK23" s="610"/>
      <c r="AL23" s="610"/>
      <c r="AM23" s="610"/>
      <c r="AN23" s="610"/>
      <c r="AO23" s="610"/>
      <c r="AP23" s="610"/>
      <c r="AQ23" s="611"/>
      <c r="AR23" s="59"/>
    </row>
    <row r="24" spans="2:44" ht="15.95" customHeight="1" x14ac:dyDescent="0.25">
      <c r="B24" s="59"/>
      <c r="C24" s="87" t="s">
        <v>362</v>
      </c>
      <c r="D24" s="618" t="s">
        <v>1099</v>
      </c>
      <c r="E24" s="618"/>
      <c r="F24" s="618"/>
      <c r="G24" s="618"/>
      <c r="H24" s="618"/>
      <c r="I24" s="618"/>
      <c r="J24" s="618"/>
      <c r="K24" s="619" t="e">
        <f>IF(TEMPLATE!#REF!/TEMPLATE!#REF!=1,"Completed",IF(TEMPLATE!#REF!/TEMPLATE!#REF!&gt;0.7,"Almost!","Incomplete"))</f>
        <v>#REF!</v>
      </c>
      <c r="L24" s="619"/>
      <c r="M24" s="619"/>
      <c r="N24" s="84"/>
      <c r="O24" s="59"/>
      <c r="P24" s="59"/>
      <c r="Q24" s="67"/>
      <c r="S24" s="119"/>
      <c r="T24" s="119"/>
      <c r="U24" s="119"/>
      <c r="V24" s="119"/>
      <c r="W24" s="119"/>
      <c r="X24" s="119"/>
      <c r="Y24" s="119"/>
      <c r="Z24" s="119"/>
      <c r="AA24" s="119"/>
      <c r="AB24" s="119"/>
      <c r="AC24" s="120"/>
      <c r="AD24" s="59"/>
      <c r="AE24" s="59"/>
      <c r="AF24" s="65"/>
      <c r="AG24" s="610"/>
      <c r="AH24" s="610"/>
      <c r="AI24" s="610"/>
      <c r="AJ24" s="610"/>
      <c r="AK24" s="610"/>
      <c r="AL24" s="610"/>
      <c r="AM24" s="610"/>
      <c r="AN24" s="610"/>
      <c r="AO24" s="610"/>
      <c r="AP24" s="610"/>
      <c r="AQ24" s="611"/>
      <c r="AR24" s="59"/>
    </row>
    <row r="25" spans="2:44" ht="15.95" customHeight="1" x14ac:dyDescent="0.25">
      <c r="B25" s="59"/>
      <c r="C25" s="87"/>
      <c r="D25" s="618"/>
      <c r="E25" s="618"/>
      <c r="F25" s="618"/>
      <c r="G25" s="618"/>
      <c r="H25" s="618"/>
      <c r="I25" s="618"/>
      <c r="J25" s="618"/>
      <c r="K25" s="619"/>
      <c r="L25" s="619"/>
      <c r="M25" s="619"/>
      <c r="N25" s="84"/>
      <c r="O25" s="59"/>
      <c r="P25" s="59"/>
      <c r="Q25" s="67" t="s">
        <v>360</v>
      </c>
      <c r="R25" s="610" t="s">
        <v>761</v>
      </c>
      <c r="S25" s="610"/>
      <c r="T25" s="610"/>
      <c r="U25" s="610"/>
      <c r="V25" s="610"/>
      <c r="W25" s="610"/>
      <c r="X25" s="610"/>
      <c r="Y25" s="610"/>
      <c r="Z25" s="610"/>
      <c r="AA25" s="610"/>
      <c r="AB25" s="610"/>
      <c r="AC25" s="611"/>
      <c r="AD25" s="59"/>
      <c r="AE25" s="59"/>
      <c r="AF25" s="67"/>
      <c r="AG25" s="610"/>
      <c r="AH25" s="610"/>
      <c r="AI25" s="610"/>
      <c r="AJ25" s="610"/>
      <c r="AK25" s="610"/>
      <c r="AL25" s="610"/>
      <c r="AM25" s="610"/>
      <c r="AN25" s="610"/>
      <c r="AO25" s="610"/>
      <c r="AP25" s="610"/>
      <c r="AQ25" s="611"/>
      <c r="AR25" s="59"/>
    </row>
    <row r="26" spans="2:44" ht="15.95" customHeight="1" x14ac:dyDescent="0.25">
      <c r="B26" s="59"/>
      <c r="C26" s="121"/>
      <c r="D26" s="124"/>
      <c r="E26" s="124"/>
      <c r="F26" s="124"/>
      <c r="G26" s="124"/>
      <c r="H26" s="124"/>
      <c r="I26" s="124"/>
      <c r="J26" s="124"/>
      <c r="K26" s="122"/>
      <c r="L26" s="122"/>
      <c r="M26" s="122"/>
      <c r="N26" s="66"/>
      <c r="O26" s="59"/>
      <c r="P26" s="59"/>
      <c r="Q26" s="65"/>
      <c r="R26" s="610"/>
      <c r="S26" s="610"/>
      <c r="T26" s="610"/>
      <c r="U26" s="610"/>
      <c r="V26" s="610"/>
      <c r="W26" s="610"/>
      <c r="X26" s="610"/>
      <c r="Y26" s="610"/>
      <c r="Z26" s="610"/>
      <c r="AA26" s="610"/>
      <c r="AB26" s="610"/>
      <c r="AC26" s="611"/>
      <c r="AD26" s="59"/>
      <c r="AE26" s="59"/>
      <c r="AF26" s="65"/>
      <c r="AG26" s="610"/>
      <c r="AH26" s="610"/>
      <c r="AI26" s="610"/>
      <c r="AJ26" s="610"/>
      <c r="AK26" s="610"/>
      <c r="AL26" s="610"/>
      <c r="AM26" s="610"/>
      <c r="AN26" s="610"/>
      <c r="AO26" s="610"/>
      <c r="AP26" s="610"/>
      <c r="AQ26" s="611"/>
      <c r="AR26" s="59"/>
    </row>
    <row r="27" spans="2:44" ht="15.95" customHeight="1" x14ac:dyDescent="0.25">
      <c r="B27" s="59"/>
      <c r="C27" s="87"/>
      <c r="D27" s="621"/>
      <c r="E27" s="621"/>
      <c r="F27" s="621"/>
      <c r="G27" s="621"/>
      <c r="H27" s="621"/>
      <c r="I27" s="621"/>
      <c r="J27" s="621"/>
      <c r="K27" s="619"/>
      <c r="L27" s="619"/>
      <c r="M27" s="619"/>
      <c r="N27" s="66"/>
      <c r="O27" s="59"/>
      <c r="P27" s="59"/>
      <c r="Q27" s="67"/>
      <c r="S27" s="59"/>
      <c r="T27" s="59"/>
      <c r="U27" s="59"/>
      <c r="V27" s="59"/>
      <c r="W27" s="59"/>
      <c r="X27" s="59"/>
      <c r="Y27" s="59"/>
      <c r="Z27" s="59"/>
      <c r="AA27" s="59"/>
      <c r="AB27" s="59"/>
      <c r="AC27" s="66"/>
      <c r="AD27" s="59"/>
      <c r="AE27" s="59"/>
      <c r="AF27" s="65"/>
      <c r="AG27" s="610"/>
      <c r="AH27" s="610"/>
      <c r="AI27" s="610"/>
      <c r="AJ27" s="610"/>
      <c r="AK27" s="610"/>
      <c r="AL27" s="610"/>
      <c r="AM27" s="610"/>
      <c r="AN27" s="610"/>
      <c r="AO27" s="610"/>
      <c r="AP27" s="610"/>
      <c r="AQ27" s="611"/>
      <c r="AR27" s="59"/>
    </row>
    <row r="28" spans="2:44" ht="15.95" customHeight="1" x14ac:dyDescent="0.25">
      <c r="B28" s="59"/>
      <c r="C28" s="121"/>
      <c r="D28" s="59"/>
      <c r="E28" s="124"/>
      <c r="F28" s="124"/>
      <c r="G28" s="124"/>
      <c r="H28" s="124"/>
      <c r="I28" s="124"/>
      <c r="J28" s="124"/>
      <c r="K28" s="122"/>
      <c r="L28" s="122"/>
      <c r="M28" s="122"/>
      <c r="N28" s="66"/>
      <c r="O28" s="59"/>
      <c r="P28" s="59"/>
      <c r="Q28" s="67"/>
      <c r="S28" s="59"/>
      <c r="T28" s="59"/>
      <c r="U28" s="59"/>
      <c r="V28" s="59"/>
      <c r="W28" s="59"/>
      <c r="X28" s="59"/>
      <c r="Y28" s="59"/>
      <c r="Z28" s="59"/>
      <c r="AA28" s="59"/>
      <c r="AB28" s="59"/>
      <c r="AC28" s="66"/>
      <c r="AD28" s="59"/>
      <c r="AE28" s="59"/>
      <c r="AF28" s="67" t="s">
        <v>361</v>
      </c>
      <c r="AG28" s="610" t="s">
        <v>357</v>
      </c>
      <c r="AH28" s="610"/>
      <c r="AI28" s="610"/>
      <c r="AJ28" s="610"/>
      <c r="AK28" s="610"/>
      <c r="AL28" s="610"/>
      <c r="AM28" s="610"/>
      <c r="AN28" s="610"/>
      <c r="AO28" s="610"/>
      <c r="AP28" s="610"/>
      <c r="AQ28" s="611"/>
      <c r="AR28" s="59"/>
    </row>
    <row r="29" spans="2:44" ht="15.95" customHeight="1" x14ac:dyDescent="0.25">
      <c r="B29" s="59"/>
      <c r="C29" s="121"/>
      <c r="D29" s="59"/>
      <c r="E29" s="124"/>
      <c r="F29" s="124"/>
      <c r="G29" s="124"/>
      <c r="H29" s="124"/>
      <c r="I29" s="124"/>
      <c r="J29" s="124"/>
      <c r="K29" s="122"/>
      <c r="L29" s="122"/>
      <c r="M29" s="122"/>
      <c r="N29" s="66"/>
      <c r="O29" s="59"/>
      <c r="P29" s="59"/>
      <c r="Q29" s="67"/>
      <c r="S29" s="59"/>
      <c r="T29" s="59"/>
      <c r="U29" s="59"/>
      <c r="V29" s="59"/>
      <c r="W29" s="59"/>
      <c r="X29" s="59"/>
      <c r="Y29" s="59"/>
      <c r="Z29" s="59"/>
      <c r="AA29" s="59"/>
      <c r="AB29" s="59"/>
      <c r="AC29" s="66"/>
      <c r="AD29" s="59"/>
      <c r="AE29" s="59"/>
      <c r="AF29" s="67"/>
      <c r="AG29" s="610"/>
      <c r="AH29" s="610"/>
      <c r="AI29" s="610"/>
      <c r="AJ29" s="610"/>
      <c r="AK29" s="610"/>
      <c r="AL29" s="610"/>
      <c r="AM29" s="610"/>
      <c r="AN29" s="610"/>
      <c r="AO29" s="610"/>
      <c r="AP29" s="610"/>
      <c r="AQ29" s="611"/>
      <c r="AR29" s="59"/>
    </row>
    <row r="30" spans="2:44" ht="15.95" customHeight="1" x14ac:dyDescent="0.25">
      <c r="B30" s="59"/>
      <c r="C30" s="65"/>
      <c r="D30" s="59"/>
      <c r="E30" s="59"/>
      <c r="F30" s="59"/>
      <c r="G30" s="59"/>
      <c r="H30" s="59"/>
      <c r="I30" s="59"/>
      <c r="J30" s="59"/>
      <c r="K30" s="59"/>
      <c r="L30" s="59"/>
      <c r="M30" s="59"/>
      <c r="N30" s="66"/>
      <c r="O30" s="59"/>
      <c r="P30" s="59"/>
      <c r="Q30" s="67"/>
      <c r="S30" s="59"/>
      <c r="T30" s="59"/>
      <c r="U30" s="59"/>
      <c r="V30" s="59"/>
      <c r="W30" s="59"/>
      <c r="X30" s="59"/>
      <c r="Y30" s="59"/>
      <c r="Z30" s="59"/>
      <c r="AA30" s="59"/>
      <c r="AB30" s="59"/>
      <c r="AC30" s="66"/>
      <c r="AD30" s="59"/>
      <c r="AE30" s="59"/>
      <c r="AF30" s="65"/>
      <c r="AG30" s="610"/>
      <c r="AH30" s="610"/>
      <c r="AI30" s="610"/>
      <c r="AJ30" s="610"/>
      <c r="AK30" s="610"/>
      <c r="AL30" s="610"/>
      <c r="AM30" s="610"/>
      <c r="AN30" s="610"/>
      <c r="AO30" s="610"/>
      <c r="AP30" s="610"/>
      <c r="AQ30" s="611"/>
      <c r="AR30" s="59"/>
    </row>
    <row r="31" spans="2:44" ht="15.95" customHeight="1" x14ac:dyDescent="0.25">
      <c r="B31" s="59"/>
      <c r="C31" s="65"/>
      <c r="D31" s="59"/>
      <c r="E31" s="59"/>
      <c r="F31" s="59"/>
      <c r="G31" s="59"/>
      <c r="H31" s="59"/>
      <c r="I31" s="59"/>
      <c r="J31" s="59"/>
      <c r="K31" s="59"/>
      <c r="L31" s="59"/>
      <c r="M31" s="59"/>
      <c r="N31" s="66"/>
      <c r="O31" s="59"/>
      <c r="P31" s="59"/>
      <c r="Q31" s="67"/>
      <c r="S31" s="59"/>
      <c r="T31" s="59"/>
      <c r="U31" s="59"/>
      <c r="V31" s="59"/>
      <c r="W31" s="59"/>
      <c r="X31" s="59"/>
      <c r="Y31" s="59"/>
      <c r="Z31" s="59"/>
      <c r="AA31" s="59"/>
      <c r="AB31" s="59"/>
      <c r="AC31" s="66"/>
      <c r="AD31" s="59"/>
      <c r="AE31" s="59"/>
      <c r="AF31" s="67"/>
      <c r="AG31" s="613" t="s">
        <v>1536</v>
      </c>
      <c r="AH31" s="613"/>
      <c r="AI31" s="613"/>
      <c r="AJ31" s="613"/>
      <c r="AK31" s="613"/>
      <c r="AL31" s="613"/>
      <c r="AM31" s="613"/>
      <c r="AN31" s="613"/>
      <c r="AO31" s="613"/>
      <c r="AP31" s="613"/>
      <c r="AQ31" s="614"/>
      <c r="AR31" s="59"/>
    </row>
    <row r="32" spans="2:44" ht="15.95" customHeight="1" x14ac:dyDescent="0.25">
      <c r="B32" s="59"/>
      <c r="C32" s="65"/>
      <c r="D32" s="59"/>
      <c r="E32" s="59"/>
      <c r="F32" s="59"/>
      <c r="G32" s="59"/>
      <c r="H32" s="59"/>
      <c r="I32" s="59"/>
      <c r="J32" s="59"/>
      <c r="K32" s="59"/>
      <c r="L32" s="59"/>
      <c r="M32" s="59"/>
      <c r="N32" s="66"/>
      <c r="O32" s="59"/>
      <c r="P32" s="59"/>
      <c r="Q32" s="67"/>
      <c r="S32" s="59"/>
      <c r="T32" s="59"/>
      <c r="U32" s="59"/>
      <c r="V32" s="59"/>
      <c r="W32" s="59"/>
      <c r="X32" s="59"/>
      <c r="Y32" s="59"/>
      <c r="Z32" s="59"/>
      <c r="AA32" s="59"/>
      <c r="AB32" s="59"/>
      <c r="AC32" s="66"/>
      <c r="AD32" s="59"/>
      <c r="AE32" s="59"/>
      <c r="AF32" s="82"/>
      <c r="AG32" s="615" t="s">
        <v>922</v>
      </c>
      <c r="AH32" s="615"/>
      <c r="AI32" s="615"/>
      <c r="AJ32" s="615"/>
      <c r="AK32" s="615"/>
      <c r="AL32" s="615"/>
      <c r="AM32" s="615"/>
      <c r="AN32" s="615"/>
      <c r="AO32" s="615"/>
      <c r="AP32" s="615"/>
      <c r="AQ32" s="616"/>
      <c r="AR32" s="59"/>
    </row>
    <row r="33" spans="3:43" ht="15.95" customHeight="1" x14ac:dyDescent="0.25">
      <c r="C33" s="65"/>
      <c r="D33" s="59"/>
      <c r="E33" s="59"/>
      <c r="F33" s="59"/>
      <c r="G33" s="59"/>
      <c r="H33" s="59"/>
      <c r="I33" s="59"/>
      <c r="J33" s="59"/>
      <c r="K33" s="59"/>
      <c r="L33" s="59"/>
      <c r="M33" s="59"/>
      <c r="N33" s="66"/>
      <c r="O33" s="59"/>
      <c r="P33" s="59"/>
      <c r="Q33" s="67"/>
      <c r="S33" s="59"/>
      <c r="T33" s="59"/>
      <c r="U33" s="59"/>
      <c r="V33" s="59"/>
      <c r="W33" s="59"/>
      <c r="X33" s="59"/>
      <c r="Y33" s="59"/>
      <c r="Z33" s="59"/>
      <c r="AA33" s="59"/>
      <c r="AB33" s="59"/>
      <c r="AC33" s="66"/>
      <c r="AD33" s="59"/>
      <c r="AE33" s="59"/>
      <c r="AF33" s="604"/>
      <c r="AG33" s="605"/>
      <c r="AH33" s="605"/>
      <c r="AI33" s="605"/>
      <c r="AJ33" s="605"/>
      <c r="AK33" s="605"/>
      <c r="AL33" s="605"/>
      <c r="AM33" s="605"/>
      <c r="AN33" s="605"/>
      <c r="AO33" s="605"/>
      <c r="AP33" s="605"/>
      <c r="AQ33" s="606"/>
    </row>
    <row r="34" spans="3:43" ht="15.95" customHeight="1" x14ac:dyDescent="0.25">
      <c r="C34" s="65"/>
      <c r="D34" s="59"/>
      <c r="E34" s="59"/>
      <c r="F34" s="59"/>
      <c r="G34" s="59"/>
      <c r="H34" s="59"/>
      <c r="I34" s="59"/>
      <c r="J34" s="59"/>
      <c r="K34" s="59"/>
      <c r="L34" s="59"/>
      <c r="M34" s="59"/>
      <c r="N34" s="66"/>
      <c r="O34" s="59"/>
      <c r="P34" s="59"/>
      <c r="Q34" s="67"/>
      <c r="S34" s="59"/>
      <c r="T34" s="59"/>
      <c r="U34" s="59"/>
      <c r="V34" s="59"/>
      <c r="W34" s="59"/>
      <c r="X34" s="59"/>
      <c r="Y34" s="59"/>
      <c r="Z34" s="59"/>
      <c r="AA34" s="59"/>
      <c r="AB34" s="59"/>
      <c r="AC34" s="66"/>
      <c r="AD34" s="59"/>
      <c r="AE34" s="59"/>
      <c r="AF34" s="604"/>
      <c r="AG34" s="605"/>
      <c r="AH34" s="605"/>
      <c r="AI34" s="605"/>
      <c r="AJ34" s="605"/>
      <c r="AK34" s="605"/>
      <c r="AL34" s="605"/>
      <c r="AM34" s="605"/>
      <c r="AN34" s="605"/>
      <c r="AO34" s="605"/>
      <c r="AP34" s="605"/>
      <c r="AQ34" s="606"/>
    </row>
    <row r="35" spans="3:43" ht="15.95" customHeight="1" x14ac:dyDescent="0.25">
      <c r="C35" s="65"/>
      <c r="D35" s="612"/>
      <c r="E35" s="612"/>
      <c r="F35" s="612"/>
      <c r="G35" s="612"/>
      <c r="H35" s="612"/>
      <c r="I35" s="612"/>
      <c r="J35" s="612"/>
      <c r="K35" s="612"/>
      <c r="L35" s="612"/>
      <c r="M35" s="612"/>
      <c r="N35" s="66"/>
      <c r="O35" s="59"/>
      <c r="P35" s="59"/>
      <c r="Q35" s="67"/>
      <c r="S35" s="59"/>
      <c r="T35" s="59"/>
      <c r="U35" s="59"/>
      <c r="V35" s="59"/>
      <c r="W35" s="59"/>
      <c r="X35" s="59"/>
      <c r="Y35" s="59"/>
      <c r="Z35" s="59"/>
      <c r="AA35" s="59"/>
      <c r="AB35" s="59"/>
      <c r="AC35" s="66"/>
      <c r="AD35" s="59"/>
      <c r="AE35" s="59"/>
      <c r="AF35" s="604"/>
      <c r="AG35" s="605"/>
      <c r="AH35" s="605"/>
      <c r="AI35" s="605"/>
      <c r="AJ35" s="605"/>
      <c r="AK35" s="605"/>
      <c r="AL35" s="605"/>
      <c r="AM35" s="605"/>
      <c r="AN35" s="605"/>
      <c r="AO35" s="605"/>
      <c r="AP35" s="605"/>
      <c r="AQ35" s="606"/>
    </row>
    <row r="36" spans="3:43" ht="15.95" customHeight="1" x14ac:dyDescent="0.25">
      <c r="C36" s="65"/>
      <c r="D36" s="612"/>
      <c r="E36" s="612"/>
      <c r="F36" s="612"/>
      <c r="G36" s="612"/>
      <c r="H36" s="612"/>
      <c r="I36" s="612"/>
      <c r="J36" s="612"/>
      <c r="K36" s="612"/>
      <c r="L36" s="612"/>
      <c r="M36" s="612"/>
      <c r="N36" s="66"/>
      <c r="O36" s="175"/>
      <c r="P36" s="175"/>
      <c r="Q36" s="67"/>
      <c r="S36" s="59"/>
      <c r="T36" s="59"/>
      <c r="U36" s="59"/>
      <c r="V36" s="59"/>
      <c r="W36" s="59"/>
      <c r="X36" s="59"/>
      <c r="Y36" s="59"/>
      <c r="Z36" s="59"/>
      <c r="AA36" s="59"/>
      <c r="AB36" s="59"/>
      <c r="AC36" s="66"/>
      <c r="AD36" s="59"/>
      <c r="AE36" s="59"/>
      <c r="AF36" s="604"/>
      <c r="AG36" s="605"/>
      <c r="AH36" s="605"/>
      <c r="AI36" s="605"/>
      <c r="AJ36" s="605"/>
      <c r="AK36" s="605"/>
      <c r="AL36" s="605"/>
      <c r="AM36" s="605"/>
      <c r="AN36" s="605"/>
      <c r="AO36" s="605"/>
      <c r="AP36" s="605"/>
      <c r="AQ36" s="606"/>
    </row>
    <row r="37" spans="3:43" ht="15.95" customHeight="1" x14ac:dyDescent="0.25">
      <c r="C37" s="65"/>
      <c r="D37" s="59"/>
      <c r="E37" s="59"/>
      <c r="F37" s="59"/>
      <c r="G37" s="59"/>
      <c r="H37" s="59"/>
      <c r="I37" s="59"/>
      <c r="J37" s="59"/>
      <c r="K37" s="59"/>
      <c r="L37" s="59"/>
      <c r="M37" s="59"/>
      <c r="N37" s="66"/>
      <c r="O37" s="175"/>
      <c r="P37" s="175"/>
      <c r="Q37" s="67"/>
      <c r="S37" s="59"/>
      <c r="T37" s="59"/>
      <c r="U37" s="59"/>
      <c r="V37" s="59"/>
      <c r="W37" s="59"/>
      <c r="X37" s="59"/>
      <c r="Y37" s="59"/>
      <c r="Z37" s="59"/>
      <c r="AA37" s="59"/>
      <c r="AB37" s="59"/>
      <c r="AC37" s="66"/>
      <c r="AD37" s="59"/>
      <c r="AE37" s="59"/>
      <c r="AF37" s="604"/>
      <c r="AG37" s="605"/>
      <c r="AH37" s="605"/>
      <c r="AI37" s="605"/>
      <c r="AJ37" s="605"/>
      <c r="AK37" s="605"/>
      <c r="AL37" s="605"/>
      <c r="AM37" s="605"/>
      <c r="AN37" s="605"/>
      <c r="AO37" s="605"/>
      <c r="AP37" s="605"/>
      <c r="AQ37" s="606"/>
    </row>
    <row r="38" spans="3:43" ht="15.95" customHeight="1" x14ac:dyDescent="0.25">
      <c r="C38" s="123"/>
      <c r="D38" s="603" t="s">
        <v>1102</v>
      </c>
      <c r="E38" s="603"/>
      <c r="F38" s="603"/>
      <c r="G38" s="603"/>
      <c r="H38" s="603"/>
      <c r="I38" s="603"/>
      <c r="J38" s="603"/>
      <c r="K38" s="603"/>
      <c r="L38" s="603"/>
      <c r="M38" s="603"/>
      <c r="N38" s="73"/>
      <c r="O38" s="59"/>
      <c r="P38" s="59"/>
      <c r="Q38" s="71"/>
      <c r="R38" s="72"/>
      <c r="S38" s="72"/>
      <c r="T38" s="72"/>
      <c r="U38" s="72"/>
      <c r="V38" s="72"/>
      <c r="W38" s="72"/>
      <c r="X38" s="72"/>
      <c r="Y38" s="72"/>
      <c r="Z38" s="72"/>
      <c r="AA38" s="72"/>
      <c r="AB38" s="72"/>
      <c r="AC38" s="73"/>
      <c r="AD38" s="59"/>
      <c r="AE38" s="59"/>
      <c r="AF38" s="607"/>
      <c r="AG38" s="608"/>
      <c r="AH38" s="608"/>
      <c r="AI38" s="608"/>
      <c r="AJ38" s="608"/>
      <c r="AK38" s="608"/>
      <c r="AL38" s="608"/>
      <c r="AM38" s="608"/>
      <c r="AN38" s="608"/>
      <c r="AO38" s="608"/>
      <c r="AP38" s="608"/>
      <c r="AQ38" s="609"/>
    </row>
    <row r="39" spans="3:43" ht="15.95" customHeight="1" x14ac:dyDescent="0.25"/>
    <row r="40" spans="3:43" ht="15.95" hidden="1" customHeight="1" x14ac:dyDescent="0.25"/>
    <row r="41" spans="3:43" ht="15.95" hidden="1" customHeight="1" x14ac:dyDescent="0.25"/>
    <row r="42" spans="3:43" ht="15.95" hidden="1"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60" t="e">
        <f>FOOT1</f>
        <v>#REF!</v>
      </c>
      <c r="C200" s="60"/>
      <c r="D200" s="60"/>
      <c r="E200" s="60"/>
      <c r="F200" s="60"/>
      <c r="G200" s="60"/>
      <c r="H200" s="60"/>
      <c r="I200" s="60"/>
      <c r="J200" s="60"/>
      <c r="K200" s="60"/>
      <c r="L200" s="60"/>
      <c r="M200" s="496" t="e">
        <f>FOOTDISCLAIM</f>
        <v>#REF!</v>
      </c>
      <c r="N200" s="496"/>
      <c r="O200" s="496"/>
      <c r="P200" s="496"/>
      <c r="Q200" s="496"/>
      <c r="R200" s="496"/>
      <c r="S200" s="496"/>
      <c r="T200" s="496"/>
      <c r="U200" s="496"/>
      <c r="V200" s="496"/>
      <c r="W200" s="496"/>
      <c r="X200" s="496"/>
      <c r="Y200" s="496"/>
      <c r="Z200" s="496"/>
      <c r="AA200" s="496"/>
      <c r="AB200" s="496"/>
      <c r="AC200" s="496"/>
      <c r="AD200" s="496"/>
      <c r="AE200" s="496"/>
      <c r="AF200" s="496"/>
      <c r="AG200" s="496"/>
      <c r="AH200" s="60"/>
      <c r="AI200" s="60"/>
      <c r="AJ200" s="60"/>
      <c r="AK200" s="60"/>
      <c r="AL200" s="60"/>
      <c r="AM200" s="60"/>
      <c r="AN200" s="60"/>
      <c r="AO200" s="60"/>
      <c r="AP200" s="60"/>
      <c r="AQ200" s="60"/>
      <c r="AR200" s="125" t="e">
        <f>FOOT4</f>
        <v>#REF!</v>
      </c>
    </row>
    <row r="201" spans="2:44" ht="15.95" customHeight="1" x14ac:dyDescent="0.25">
      <c r="B201" s="60" t="e">
        <f>FOOT2</f>
        <v>#REF!</v>
      </c>
      <c r="C201" s="60"/>
      <c r="D201" s="60"/>
      <c r="E201" s="60"/>
      <c r="F201" s="60"/>
      <c r="G201" s="60"/>
      <c r="H201" s="60"/>
      <c r="I201" s="60"/>
      <c r="J201" s="60"/>
      <c r="K201" s="60"/>
      <c r="L201" s="60"/>
      <c r="M201" s="496"/>
      <c r="N201" s="496"/>
      <c r="O201" s="496"/>
      <c r="P201" s="496"/>
      <c r="Q201" s="496"/>
      <c r="R201" s="496"/>
      <c r="S201" s="496"/>
      <c r="T201" s="496"/>
      <c r="U201" s="496"/>
      <c r="V201" s="496"/>
      <c r="W201" s="496"/>
      <c r="X201" s="496"/>
      <c r="Y201" s="496"/>
      <c r="Z201" s="496"/>
      <c r="AA201" s="496"/>
      <c r="AB201" s="496"/>
      <c r="AC201" s="496"/>
      <c r="AD201" s="496"/>
      <c r="AE201" s="496"/>
      <c r="AF201" s="496"/>
      <c r="AG201" s="496"/>
      <c r="AH201" s="60"/>
      <c r="AI201" s="60"/>
      <c r="AJ201" s="60"/>
      <c r="AK201" s="60"/>
      <c r="AL201" s="60"/>
      <c r="AM201" s="60"/>
      <c r="AN201" s="60"/>
      <c r="AO201" s="60"/>
      <c r="AP201" s="60"/>
      <c r="AQ201" s="60"/>
      <c r="AR201" s="125" t="e">
        <f>FOOT5</f>
        <v>#REF!</v>
      </c>
    </row>
    <row r="202" spans="2:44" ht="15.95" customHeight="1" x14ac:dyDescent="0.25">
      <c r="B202" s="61" t="e">
        <f>FOOT3</f>
        <v>#REF!</v>
      </c>
      <c r="C202" s="60"/>
      <c r="D202" s="60"/>
      <c r="E202" s="60"/>
      <c r="F202" s="60"/>
      <c r="G202" s="60"/>
      <c r="H202" s="60"/>
      <c r="I202" s="60"/>
      <c r="J202" s="60"/>
      <c r="K202" s="60"/>
      <c r="L202" s="60"/>
      <c r="M202" s="62"/>
      <c r="N202" s="60"/>
      <c r="O202" s="60"/>
      <c r="P202" s="62"/>
      <c r="Q202" s="62"/>
      <c r="R202" s="62"/>
      <c r="S202" s="62"/>
      <c r="T202" s="62"/>
      <c r="U202" s="62"/>
      <c r="V202" s="62"/>
      <c r="W202" s="63" t="str">
        <f>VERSION</f>
        <v>Lighting One-Page 2.3.0</v>
      </c>
      <c r="X202" s="62"/>
      <c r="Y202" s="62"/>
      <c r="Z202" s="62"/>
      <c r="AA202" s="62"/>
      <c r="AB202" s="62"/>
      <c r="AC202" s="62"/>
      <c r="AD202" s="62"/>
      <c r="AE202" s="60"/>
      <c r="AF202" s="60"/>
      <c r="AG202" s="60"/>
      <c r="AH202" s="60"/>
      <c r="AI202" s="60"/>
      <c r="AJ202" s="60"/>
      <c r="AK202" s="60"/>
      <c r="AL202" s="60"/>
      <c r="AM202" s="60"/>
      <c r="AN202" s="60"/>
      <c r="AO202" s="60"/>
      <c r="AP202" s="60"/>
      <c r="AQ202" s="60"/>
      <c r="AR202" s="125" t="e">
        <f>FOOT6</f>
        <v>#REF!</v>
      </c>
    </row>
  </sheetData>
  <sheetProtection algorithmName="SHA-512" hashValue="uTCc9sIZC+T1/MrkNzbOVgqzrYerC0EUh924jB5x/SzysCu4ESuSqvMGv+2GqNQy7nKPRj7m2Vu7UFZFqR1tQQ==" saltValue="9lSHrfvgkO6IpgsygJBB9g==" spinCount="100000" sheet="1" objects="1" scenarios="1" selectLockedCells="1"/>
  <mergeCells count="34">
    <mergeCell ref="AQ1:AR1"/>
    <mergeCell ref="AQ2:AR3"/>
    <mergeCell ref="D22:J22"/>
    <mergeCell ref="K22:M22"/>
    <mergeCell ref="AH1:AK1"/>
    <mergeCell ref="AL1:AP1"/>
    <mergeCell ref="AH2:AK3"/>
    <mergeCell ref="AL2:AP3"/>
    <mergeCell ref="Q1:R1"/>
    <mergeCell ref="U1:V1"/>
    <mergeCell ref="Y1:Z1"/>
    <mergeCell ref="D18:J18"/>
    <mergeCell ref="K18:M18"/>
    <mergeCell ref="AG18:AQ22"/>
    <mergeCell ref="D20:J20"/>
    <mergeCell ref="K20:M20"/>
    <mergeCell ref="AG23:AQ27"/>
    <mergeCell ref="D24:J25"/>
    <mergeCell ref="K24:M25"/>
    <mergeCell ref="R25:AC26"/>
    <mergeCell ref="D27:J27"/>
    <mergeCell ref="K27:M27"/>
    <mergeCell ref="F10:AN10"/>
    <mergeCell ref="F11:AN11"/>
    <mergeCell ref="D15:J16"/>
    <mergeCell ref="K15:M16"/>
    <mergeCell ref="AG15:AQ17"/>
    <mergeCell ref="D38:M38"/>
    <mergeCell ref="AF33:AQ38"/>
    <mergeCell ref="AG28:AQ30"/>
    <mergeCell ref="D35:M36"/>
    <mergeCell ref="M200:AG201"/>
    <mergeCell ref="AG31:AQ31"/>
    <mergeCell ref="AG32:AQ32"/>
  </mergeCells>
  <conditionalFormatting sqref="K15 K18 K20 K22 K24 K27">
    <cfRule type="expression" dxfId="49" priority="58">
      <formula>K15="Incomplete"</formula>
    </cfRule>
    <cfRule type="expression" dxfId="48" priority="59">
      <formula>K15="Almost!"</formula>
    </cfRule>
    <cfRule type="expression" dxfId="47" priority="60">
      <formula>K15="Completed"</formula>
    </cfRule>
  </conditionalFormatting>
  <conditionalFormatting sqref="AF33 O36:P37">
    <cfRule type="expression" dxfId="46" priority="122">
      <formula>ISNUMBER(SEARCH("Equipment must be installed",$AF$33))</formula>
    </cfRule>
    <cfRule type="expression" dxfId="45" priority="123">
      <formula>ISNUMBER(SEARCH("Ready for submission",$AF$33))</formula>
    </cfRule>
  </conditionalFormatting>
  <conditionalFormatting sqref="AH2 AL2">
    <cfRule type="expression" dxfId="44" priority="1">
      <formula>PROJSTATUS=PROJSTATELI</formula>
    </cfRule>
    <cfRule type="expression" dxfId="43" priority="2">
      <formula>PROJSTATUS=PROJSTATREVIEW</formula>
    </cfRule>
    <cfRule type="expression" dxfId="42" priority="3">
      <formula>PROJSTATUS=PROJSTATPREAPPROVE</formula>
    </cfRule>
    <cfRule type="expression" dxfId="41" priority="4">
      <formula>PROJSTATUS=PROJSTATSTANDARD</formula>
    </cfRule>
    <cfRule type="expression" dxfId="40" priority="5">
      <formula>PROJSTATUS=PROJSTATEXP</formula>
    </cfRule>
  </conditionalFormatting>
  <conditionalFormatting sqref="AQ2:AR3">
    <cfRule type="cellIs" dxfId="39" priority="15" operator="equal">
      <formula>1</formula>
    </cfRule>
    <cfRule type="cellIs" dxfId="38" priority="16" operator="between">
      <formula>0.51</formula>
      <formula>0.99</formula>
    </cfRule>
    <cfRule type="cellIs" dxfId="37" priority="17" operator="lessThanOrEqual">
      <formula>0.5</formula>
    </cfRule>
  </conditionalFormatting>
  <dataValidations disablePrompts="1" count="1">
    <dataValidation type="date" operator="lessThanOrEqual" allowBlank="1" showInputMessage="1" showErrorMessage="1" error="Please purchase and install your equipment first before completing this application." sqref="R32:V32 X32:AB32" xr:uid="{00000000-0002-0000-2800-000000000000}">
      <formula1>TODAY()</formula1>
    </dataValidation>
  </dataValidations>
  <hyperlinks>
    <hyperlink ref="B202" r:id="rId1" display="NIPSCO.Savings@LMCO.com" xr:uid="{00000000-0004-0000-2800-000000000000}"/>
    <hyperlink ref="D18:I18" location="'M02-S02'!A1" display="Company and Site Information" xr:uid="{00000000-0004-0000-2800-000001000000}"/>
    <hyperlink ref="D20:I20" location="'M02-S03'!A1" display="Contractor/Vendor Information" xr:uid="{00000000-0004-0000-2800-000002000000}"/>
    <hyperlink ref="D22:I22" location="'M02-S04'!A1" display="Payment Information" xr:uid="{00000000-0004-0000-2800-000003000000}"/>
    <hyperlink ref="D24:J25" location="'M03-S01'!A1" display="Qualifying Prescriptive or Non-Prescriptive Measure entered" xr:uid="{00000000-0004-0000-2800-000004000000}"/>
    <hyperlink ref="D15:J16" location="'M02-S01'!A1" display="Read and Accept Program Terms and Conditions" xr:uid="{00000000-0004-0000-2800-000005000000}"/>
    <hyperlink ref="AG32" r:id="rId2" xr:uid="{DC1C22BC-3C5F-445B-B0A4-27A9ABFA72A3}"/>
  </hyperlinks>
  <pageMargins left="0.25" right="0.25" top="0.25" bottom="0.25" header="0.25" footer="0.25"/>
  <pageSetup scale="62" fitToHeight="0"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fitToPage="1"/>
  </sheetPr>
  <dimension ref="A1:EFY233"/>
  <sheetViews>
    <sheetView showGridLines="0" showRowColHeaders="0" tabSelected="1" zoomScale="85" zoomScaleNormal="85" workbookViewId="0">
      <pane ySplit="14" topLeftCell="A15" activePane="bottomLeft" state="frozen"/>
      <selection pane="bottomLeft" activeCell="C20" sqref="C20:H20"/>
    </sheetView>
  </sheetViews>
  <sheetFormatPr defaultColWidth="0" defaultRowHeight="15.95" customHeight="1" zeroHeight="1" x14ac:dyDescent="0.25"/>
  <cols>
    <col min="1" max="45" width="4.7109375" customWidth="1"/>
    <col min="46" max="46" width="9.140625" hidden="1" customWidth="1"/>
    <col min="47" max="49" width="10.42578125" hidden="1" customWidth="1"/>
    <col min="50" max="75" width="9.140625" hidden="1" customWidth="1"/>
    <col min="76" max="3561" width="0" hidden="1" customWidth="1"/>
    <col min="3562" max="16384" width="9.140625" hidden="1"/>
  </cols>
  <sheetData>
    <row r="1" spans="2:62" ht="15.95" customHeight="1" x14ac:dyDescent="0.25"/>
    <row r="2" spans="2:62" ht="15.95" customHeight="1" x14ac:dyDescent="0.25"/>
    <row r="3" spans="2:62" ht="15.95" customHeight="1" x14ac:dyDescent="0.25"/>
    <row r="4" spans="2:62" ht="15.95" customHeight="1" x14ac:dyDescent="0.25"/>
    <row r="5" spans="2:62" ht="15.95" customHeight="1" x14ac:dyDescent="0.25"/>
    <row r="6" spans="2:62" ht="15.95" customHeight="1" x14ac:dyDescent="0.25"/>
    <row r="7" spans="2:62" ht="15.95" customHeight="1" x14ac:dyDescent="0.25">
      <c r="AU7" s="171"/>
    </row>
    <row r="8" spans="2:62" ht="15.95" customHeight="1" x14ac:dyDescent="0.25">
      <c r="BJ8" s="489"/>
    </row>
    <row r="9" spans="2:62" ht="15.95" customHeight="1" x14ac:dyDescent="0.25"/>
    <row r="10" spans="2:62" ht="15.95" customHeight="1" thickBot="1" x14ac:dyDescent="0.3"/>
    <row r="11" spans="2:62" ht="15.95" customHeight="1" thickTop="1" x14ac:dyDescent="0.25">
      <c r="B11" s="480"/>
      <c r="C11" s="735" t="str">
        <f>IF(AND(SUM(AN32:AQ71)&gt;15000,ISNUMBER(SEARCH("YES, ",M02S02F44))),"Total Incentive (Capped)", "Total Incentive")</f>
        <v>Total Incentive</v>
      </c>
      <c r="D11" s="735"/>
      <c r="E11" s="735"/>
      <c r="F11" s="735"/>
      <c r="G11" s="735"/>
      <c r="H11" s="735"/>
      <c r="I11" s="735"/>
      <c r="J11" s="735"/>
      <c r="K11" s="480"/>
      <c r="L11" s="480"/>
      <c r="M11" s="480"/>
      <c r="N11" s="480"/>
      <c r="O11" s="480"/>
      <c r="P11" s="480"/>
      <c r="Q11" s="480"/>
      <c r="R11" s="480"/>
      <c r="S11" s="737" t="s">
        <v>723</v>
      </c>
      <c r="T11" s="737"/>
      <c r="U11" s="737"/>
      <c r="V11" s="737"/>
      <c r="W11" s="737"/>
      <c r="X11" s="737"/>
      <c r="Y11" s="737"/>
      <c r="Z11" s="737"/>
      <c r="AA11" s="480"/>
      <c r="AB11" s="480"/>
      <c r="AC11" s="480"/>
      <c r="AD11" s="480"/>
      <c r="AE11" s="480"/>
      <c r="AF11" s="480"/>
      <c r="AG11" s="480"/>
      <c r="AH11" s="480"/>
      <c r="AI11" s="735" t="s">
        <v>373</v>
      </c>
      <c r="AJ11" s="735"/>
      <c r="AK11" s="735"/>
      <c r="AL11" s="735"/>
      <c r="AM11" s="735"/>
      <c r="AN11" s="735"/>
      <c r="AO11" s="735"/>
      <c r="AP11" s="735"/>
      <c r="AQ11" s="735"/>
      <c r="AR11" s="480"/>
      <c r="AT11" s="411" t="s">
        <v>2126</v>
      </c>
      <c r="AU11" s="411"/>
      <c r="AV11" s="484">
        <v>15000</v>
      </c>
      <c r="BJ11" s="171"/>
    </row>
    <row r="12" spans="2:62" ht="15.95" customHeight="1" x14ac:dyDescent="0.25">
      <c r="B12" s="332"/>
      <c r="C12" s="736"/>
      <c r="D12" s="736"/>
      <c r="E12" s="736"/>
      <c r="F12" s="736"/>
      <c r="G12" s="736"/>
      <c r="H12" s="736"/>
      <c r="I12" s="736"/>
      <c r="J12" s="736"/>
      <c r="K12" s="332"/>
      <c r="L12" s="332"/>
      <c r="M12" s="332"/>
      <c r="N12" s="332"/>
      <c r="O12" s="332"/>
      <c r="P12" s="332"/>
      <c r="Q12" s="332"/>
      <c r="R12" s="332"/>
      <c r="S12" s="738"/>
      <c r="T12" s="738"/>
      <c r="U12" s="738"/>
      <c r="V12" s="738"/>
      <c r="W12" s="738"/>
      <c r="X12" s="738"/>
      <c r="Y12" s="738"/>
      <c r="Z12" s="738"/>
      <c r="AA12" s="332"/>
      <c r="AB12" s="332"/>
      <c r="AC12" s="332"/>
      <c r="AD12" s="332"/>
      <c r="AE12" s="332"/>
      <c r="AF12" s="332"/>
      <c r="AG12" s="332"/>
      <c r="AH12" s="332"/>
      <c r="AI12" s="736"/>
      <c r="AJ12" s="736"/>
      <c r="AK12" s="736"/>
      <c r="AL12" s="736"/>
      <c r="AM12" s="736"/>
      <c r="AN12" s="736"/>
      <c r="AO12" s="736"/>
      <c r="AP12" s="736"/>
      <c r="AQ12" s="736"/>
      <c r="AR12" s="332"/>
    </row>
    <row r="13" spans="2:62" ht="15.95" customHeight="1" x14ac:dyDescent="0.25">
      <c r="B13" s="332"/>
      <c r="C13" s="753" t="str">
        <f>INCENSTATUS</f>
        <v>---</v>
      </c>
      <c r="D13" s="753"/>
      <c r="E13" s="753"/>
      <c r="F13" s="753"/>
      <c r="G13" s="753"/>
      <c r="H13" s="753"/>
      <c r="I13" s="753"/>
      <c r="J13" s="753"/>
      <c r="K13" s="332"/>
      <c r="L13" s="332"/>
      <c r="M13" s="332"/>
      <c r="N13" s="332"/>
      <c r="O13" s="332"/>
      <c r="P13" s="332"/>
      <c r="Q13" s="332"/>
      <c r="R13" s="332"/>
      <c r="S13" s="754" t="str">
        <f ca="1">PROJSTATUS</f>
        <v>Enter Measures</v>
      </c>
      <c r="T13" s="754"/>
      <c r="U13" s="754"/>
      <c r="V13" s="754"/>
      <c r="W13" s="754"/>
      <c r="X13" s="754"/>
      <c r="Y13" s="754"/>
      <c r="Z13" s="754"/>
      <c r="AA13" s="332"/>
      <c r="AB13" s="332"/>
      <c r="AC13" s="332"/>
      <c r="AD13" s="332"/>
      <c r="AE13" s="332"/>
      <c r="AF13" s="332"/>
      <c r="AG13" s="332"/>
      <c r="AH13" s="332"/>
      <c r="AI13" s="755">
        <f ca="1">PROGRESSSTATUS</f>
        <v>0</v>
      </c>
      <c r="AJ13" s="755"/>
      <c r="AK13" s="755"/>
      <c r="AL13" s="755"/>
      <c r="AM13" s="755"/>
      <c r="AN13" s="755"/>
      <c r="AO13" s="755"/>
      <c r="AP13" s="755"/>
      <c r="AQ13" s="755"/>
      <c r="AR13" s="332"/>
    </row>
    <row r="14" spans="2:62" ht="15.95" customHeight="1" x14ac:dyDescent="0.25">
      <c r="B14" s="332"/>
      <c r="C14" s="753"/>
      <c r="D14" s="753"/>
      <c r="E14" s="753"/>
      <c r="F14" s="753"/>
      <c r="G14" s="753"/>
      <c r="H14" s="753"/>
      <c r="I14" s="753"/>
      <c r="J14" s="753"/>
      <c r="K14" s="332"/>
      <c r="L14" s="332"/>
      <c r="M14" s="332"/>
      <c r="N14" s="332"/>
      <c r="O14" s="332"/>
      <c r="P14" s="332"/>
      <c r="Q14" s="332"/>
      <c r="R14" s="332"/>
      <c r="S14" s="754"/>
      <c r="T14" s="754"/>
      <c r="U14" s="754"/>
      <c r="V14" s="754"/>
      <c r="W14" s="754"/>
      <c r="X14" s="754"/>
      <c r="Y14" s="754"/>
      <c r="Z14" s="754"/>
      <c r="AA14" s="332"/>
      <c r="AB14" s="332"/>
      <c r="AC14" s="332"/>
      <c r="AD14" s="332"/>
      <c r="AE14" s="332"/>
      <c r="AF14" s="332"/>
      <c r="AG14" s="332"/>
      <c r="AH14" s="332"/>
      <c r="AI14" s="755"/>
      <c r="AJ14" s="755"/>
      <c r="AK14" s="755"/>
      <c r="AL14" s="755"/>
      <c r="AM14" s="755"/>
      <c r="AN14" s="755"/>
      <c r="AO14" s="755"/>
      <c r="AP14" s="755"/>
      <c r="AQ14" s="755"/>
      <c r="AR14" s="332"/>
    </row>
    <row r="15" spans="2:62" ht="15.95" customHeight="1" x14ac:dyDescent="0.25">
      <c r="B15" s="441"/>
      <c r="D15" s="442"/>
      <c r="E15" s="442"/>
      <c r="F15" s="442"/>
      <c r="G15" s="442"/>
      <c r="H15" s="442"/>
      <c r="I15" s="442"/>
      <c r="J15" s="442"/>
      <c r="L15" s="659" t="s">
        <v>2052</v>
      </c>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458"/>
      <c r="AJ15" s="442"/>
      <c r="AK15" s="442"/>
      <c r="AL15" s="442"/>
      <c r="AM15" s="442"/>
      <c r="AN15" s="442"/>
      <c r="AO15" s="442"/>
      <c r="AP15" s="442"/>
      <c r="AQ15" s="443" t="s">
        <v>1759</v>
      </c>
      <c r="AR15" s="444"/>
      <c r="AX15" s="171"/>
    </row>
    <row r="16" spans="2:62" ht="15.95" customHeight="1" x14ac:dyDescent="0.25">
      <c r="B16" s="445"/>
      <c r="C16" s="446"/>
      <c r="D16" s="442"/>
      <c r="E16" s="446"/>
      <c r="F16" s="442"/>
      <c r="G16" s="446"/>
      <c r="H16" s="442"/>
      <c r="I16" s="446"/>
      <c r="J16" s="442"/>
      <c r="K16" s="458"/>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458"/>
      <c r="AJ16" s="442"/>
      <c r="AK16" s="446"/>
      <c r="AL16" s="442"/>
      <c r="AM16" s="446"/>
      <c r="AN16" s="442"/>
      <c r="AO16" s="446"/>
      <c r="AP16" s="442"/>
      <c r="AQ16" s="446"/>
      <c r="AR16" s="444"/>
    </row>
    <row r="17" spans="2:74" ht="15.95" customHeight="1" x14ac:dyDescent="0.25">
      <c r="B17" s="445"/>
      <c r="C17" s="446"/>
      <c r="D17" s="442"/>
      <c r="E17" s="446"/>
      <c r="F17" s="442"/>
      <c r="G17" s="446"/>
      <c r="H17" s="442"/>
      <c r="I17" s="446"/>
      <c r="J17" s="442"/>
      <c r="K17" s="458"/>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458"/>
      <c r="AJ17" s="442"/>
      <c r="AK17" s="446"/>
      <c r="AL17" s="442"/>
      <c r="AM17" s="446"/>
      <c r="AN17" s="442"/>
      <c r="AO17" s="446"/>
      <c r="AP17" s="442"/>
      <c r="AQ17" s="446"/>
      <c r="AR17" s="444"/>
    </row>
    <row r="18" spans="2:74" ht="15.95" customHeight="1" x14ac:dyDescent="0.25">
      <c r="B18" s="445"/>
      <c r="D18" s="442"/>
      <c r="E18" s="442"/>
      <c r="F18" s="756" t="s">
        <v>1741</v>
      </c>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442"/>
      <c r="AP18" s="442"/>
      <c r="AQ18" s="442"/>
      <c r="AR18" s="444"/>
    </row>
    <row r="19" spans="2:74" ht="15.95" customHeight="1" x14ac:dyDescent="0.25">
      <c r="B19" s="445"/>
      <c r="C19" s="642" t="s">
        <v>1817</v>
      </c>
      <c r="D19" s="642"/>
      <c r="E19" s="642"/>
      <c r="F19" s="642"/>
      <c r="G19" s="642"/>
      <c r="H19" s="642"/>
      <c r="I19" s="642"/>
      <c r="J19" s="642"/>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2"/>
      <c r="AP19" s="442"/>
      <c r="AQ19" s="442"/>
      <c r="AR19" s="444"/>
      <c r="AU19">
        <f>IF(ISNUMBER(SEARCH("Linear",C32)),49999,0)</f>
        <v>0</v>
      </c>
      <c r="AY19" s="171"/>
    </row>
    <row r="20" spans="2:74" ht="15.95" customHeight="1" x14ac:dyDescent="0.25">
      <c r="B20" s="445"/>
      <c r="C20" s="758"/>
      <c r="D20" s="743"/>
      <c r="E20" s="743"/>
      <c r="F20" s="743"/>
      <c r="G20" s="743"/>
      <c r="H20" s="744"/>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2"/>
      <c r="AP20" s="442"/>
      <c r="AQ20" s="442"/>
      <c r="AR20" s="444"/>
      <c r="AY20">
        <f>LIGHTRATE21</f>
        <v>1</v>
      </c>
      <c r="AZ20">
        <f ca="1">IF(AND(ISNUMBER(SEARCH("NO",MSF20266)),MSF20265&lt;=DATEVALUE("12/31/2021"),TODAY()&lt;=LIGHTING2021),LIGHTRATE21,1)</f>
        <v>1</v>
      </c>
    </row>
    <row r="21" spans="2:74" ht="15.95" customHeight="1" x14ac:dyDescent="0.25">
      <c r="B21" s="445"/>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442"/>
      <c r="AQ21" s="442"/>
      <c r="AR21" s="444"/>
      <c r="AY21">
        <f>LIGHTING2021</f>
        <v>44531</v>
      </c>
    </row>
    <row r="22" spans="2:74" ht="15.95" customHeight="1" x14ac:dyDescent="0.25">
      <c r="B22" s="441"/>
      <c r="C22" s="642" t="s">
        <v>1742</v>
      </c>
      <c r="D22" s="642"/>
      <c r="E22" s="642"/>
      <c r="F22" s="642"/>
      <c r="G22" s="642"/>
      <c r="H22" s="642"/>
      <c r="I22" s="229"/>
      <c r="J22" s="520" t="s">
        <v>725</v>
      </c>
      <c r="K22" s="520"/>
      <c r="L22" s="520"/>
      <c r="M22" s="520"/>
      <c r="N22" s="520"/>
      <c r="O22" s="520"/>
      <c r="P22" s="229"/>
      <c r="Q22" s="520" t="s">
        <v>726</v>
      </c>
      <c r="R22" s="520"/>
      <c r="S22" s="520"/>
      <c r="T22" s="520"/>
      <c r="U22" s="520"/>
      <c r="V22" s="520"/>
      <c r="W22" s="229"/>
      <c r="X22" s="520" t="s">
        <v>727</v>
      </c>
      <c r="Y22" s="520"/>
      <c r="Z22" s="520"/>
      <c r="AA22" s="520"/>
      <c r="AB22" s="520"/>
      <c r="AC22" s="520"/>
      <c r="AD22" s="229"/>
      <c r="AE22" s="520" t="s">
        <v>728</v>
      </c>
      <c r="AF22" s="520"/>
      <c r="AG22" s="520"/>
      <c r="AH22" s="520"/>
      <c r="AI22" s="520"/>
      <c r="AJ22" s="520"/>
      <c r="AK22" s="229"/>
      <c r="AL22" s="520" t="s">
        <v>729</v>
      </c>
      <c r="AM22" s="520"/>
      <c r="AN22" s="520"/>
      <c r="AO22" s="520"/>
      <c r="AP22" s="520"/>
      <c r="AQ22" s="520"/>
      <c r="AR22" s="448"/>
      <c r="AY22">
        <f ca="1">IF(AND(ISNUMBER(SEARCH("NO",M02S02F44)),M02S02F43&lt;=DATEVALUE("12/31/2021"),TODAY()&lt;=LIGHTING2021),LIGHTRATE21,1)</f>
        <v>1</v>
      </c>
    </row>
    <row r="23" spans="2:74" ht="15.95" customHeight="1" x14ac:dyDescent="0.25">
      <c r="B23" s="441"/>
      <c r="C23" s="758"/>
      <c r="D23" s="743"/>
      <c r="E23" s="743"/>
      <c r="F23" s="743"/>
      <c r="G23" s="743"/>
      <c r="H23" s="744"/>
      <c r="I23" s="229"/>
      <c r="J23" s="758"/>
      <c r="K23" s="743"/>
      <c r="L23" s="743"/>
      <c r="M23" s="743"/>
      <c r="N23" s="743"/>
      <c r="O23" s="744"/>
      <c r="P23" s="229"/>
      <c r="Q23" s="758"/>
      <c r="R23" s="743"/>
      <c r="S23" s="743"/>
      <c r="T23" s="743"/>
      <c r="U23" s="743"/>
      <c r="V23" s="744"/>
      <c r="W23" s="229"/>
      <c r="X23" s="758"/>
      <c r="Y23" s="743"/>
      <c r="Z23" s="743"/>
      <c r="AA23" s="743"/>
      <c r="AB23" s="743"/>
      <c r="AC23" s="744"/>
      <c r="AD23" s="229"/>
      <c r="AE23" s="812"/>
      <c r="AF23" s="813"/>
      <c r="AG23" s="813"/>
      <c r="AH23" s="813"/>
      <c r="AI23" s="813"/>
      <c r="AJ23" s="814"/>
      <c r="AK23" s="229"/>
      <c r="AL23" s="824"/>
      <c r="AM23" s="743"/>
      <c r="AN23" s="743"/>
      <c r="AO23" s="743"/>
      <c r="AP23" s="743"/>
      <c r="AQ23" s="744"/>
      <c r="AR23" s="448"/>
    </row>
    <row r="24" spans="2:74" ht="15.95" customHeight="1" x14ac:dyDescent="0.25">
      <c r="B24" s="441"/>
      <c r="C24" s="715"/>
      <c r="D24" s="715"/>
      <c r="E24" s="715"/>
      <c r="F24" s="715"/>
      <c r="G24" s="715"/>
      <c r="H24" s="715"/>
      <c r="I24" s="715"/>
      <c r="J24" s="715"/>
      <c r="K24" s="715"/>
      <c r="L24" s="715"/>
      <c r="M24" s="715"/>
      <c r="N24" s="715"/>
      <c r="O24" s="715"/>
      <c r="P24" s="715"/>
      <c r="Q24" s="715"/>
      <c r="R24" s="715"/>
      <c r="S24" s="715"/>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448"/>
    </row>
    <row r="25" spans="2:74" ht="15.95" customHeight="1" x14ac:dyDescent="0.25">
      <c r="B25" s="441"/>
      <c r="C25" s="460"/>
      <c r="D25" s="831" t="s">
        <v>2064</v>
      </c>
      <c r="E25" s="831"/>
      <c r="F25" s="831"/>
      <c r="G25" s="831"/>
      <c r="H25" s="831"/>
      <c r="I25" s="831"/>
      <c r="J25" s="831"/>
      <c r="K25" s="831"/>
      <c r="L25" s="831"/>
      <c r="M25" s="831"/>
      <c r="N25" s="831"/>
      <c r="O25" s="831"/>
      <c r="P25" s="831"/>
      <c r="R25" s="785" t="s">
        <v>1793</v>
      </c>
      <c r="S25" s="785"/>
      <c r="T25" s="785"/>
      <c r="U25" s="785"/>
      <c r="V25" s="785"/>
      <c r="W25" s="785"/>
      <c r="X25" s="785"/>
      <c r="Y25" s="785"/>
      <c r="Z25" s="785"/>
      <c r="AA25" s="785"/>
      <c r="AB25" s="785"/>
      <c r="AC25" s="785"/>
      <c r="AD25" s="785"/>
      <c r="AF25" s="790"/>
      <c r="AG25" s="790"/>
      <c r="AH25" s="790"/>
      <c r="AI25" s="790"/>
      <c r="AJ25" s="790"/>
      <c r="AK25" s="790"/>
      <c r="AL25" s="790"/>
      <c r="AM25" s="790"/>
      <c r="AN25" s="790"/>
      <c r="AO25" s="790"/>
      <c r="AP25" s="790"/>
      <c r="AQ25" s="475"/>
      <c r="AR25" s="448"/>
      <c r="AT25" t="s">
        <v>1191</v>
      </c>
    </row>
    <row r="26" spans="2:74" ht="15.95" customHeight="1" x14ac:dyDescent="0.25">
      <c r="B26" s="441"/>
      <c r="C26" s="460"/>
      <c r="D26" s="759"/>
      <c r="E26" s="760"/>
      <c r="F26" s="760"/>
      <c r="G26" s="760"/>
      <c r="H26" s="760"/>
      <c r="I26" s="760"/>
      <c r="J26" s="760"/>
      <c r="K26" s="760"/>
      <c r="L26" s="760"/>
      <c r="M26" s="760"/>
      <c r="N26" s="760"/>
      <c r="O26" s="760"/>
      <c r="P26" s="761"/>
      <c r="R26" s="786"/>
      <c r="S26" s="786"/>
      <c r="T26" s="786"/>
      <c r="U26" s="786"/>
      <c r="V26" s="786"/>
      <c r="W26" s="786"/>
      <c r="X26" s="786"/>
      <c r="Y26" s="786"/>
      <c r="Z26" s="786"/>
      <c r="AA26" s="786"/>
      <c r="AB26" s="786"/>
      <c r="AC26" s="786"/>
      <c r="AD26" s="786"/>
      <c r="AF26" s="790"/>
      <c r="AG26" s="790"/>
      <c r="AH26" s="790"/>
      <c r="AI26" s="790"/>
      <c r="AJ26" s="790"/>
      <c r="AK26" s="790"/>
      <c r="AL26" s="790"/>
      <c r="AM26" s="790"/>
      <c r="AN26" s="790"/>
      <c r="AO26" s="790"/>
      <c r="AP26" s="790"/>
      <c r="AQ26" s="475"/>
      <c r="AR26" s="448"/>
      <c r="AT26" t="s">
        <v>1781</v>
      </c>
    </row>
    <row r="27" spans="2:74" ht="15.95" customHeight="1" x14ac:dyDescent="0.25">
      <c r="B27" s="441"/>
      <c r="C27" s="460"/>
      <c r="D27" s="762"/>
      <c r="E27" s="763"/>
      <c r="F27" s="763"/>
      <c r="G27" s="763"/>
      <c r="H27" s="763"/>
      <c r="I27" s="763"/>
      <c r="J27" s="763"/>
      <c r="K27" s="763"/>
      <c r="L27" s="763"/>
      <c r="M27" s="763"/>
      <c r="N27" s="763"/>
      <c r="O27" s="763"/>
      <c r="P27" s="764"/>
      <c r="R27" s="787"/>
      <c r="S27" s="788"/>
      <c r="T27" s="788"/>
      <c r="U27" s="788"/>
      <c r="V27" s="788"/>
      <c r="W27" s="788"/>
      <c r="X27" s="788"/>
      <c r="Y27" s="788"/>
      <c r="Z27" s="788"/>
      <c r="AA27" s="788"/>
      <c r="AB27" s="788"/>
      <c r="AC27" s="788"/>
      <c r="AD27" s="789"/>
      <c r="AF27" s="790"/>
      <c r="AG27" s="790"/>
      <c r="AH27" s="790"/>
      <c r="AI27" s="790"/>
      <c r="AJ27" s="790"/>
      <c r="AK27" s="790"/>
      <c r="AL27" s="790"/>
      <c r="AM27" s="790"/>
      <c r="AN27" s="790"/>
      <c r="AO27" s="790"/>
      <c r="AP27" s="790"/>
      <c r="AQ27" s="475"/>
      <c r="AR27" s="448"/>
      <c r="AT27" t="s">
        <v>1800</v>
      </c>
    </row>
    <row r="28" spans="2:74" ht="15.95" customHeight="1" x14ac:dyDescent="0.25">
      <c r="B28" s="441"/>
      <c r="C28" s="723"/>
      <c r="D28" s="723"/>
      <c r="E28" s="723"/>
      <c r="F28" s="723"/>
      <c r="G28" s="723"/>
      <c r="H28" s="723"/>
      <c r="I28" s="723"/>
      <c r="J28" s="723"/>
      <c r="K28" s="723"/>
      <c r="L28" s="723"/>
      <c r="M28" s="723"/>
      <c r="AR28" s="448"/>
      <c r="BC28" s="715" t="s">
        <v>1967</v>
      </c>
      <c r="BD28" s="715"/>
      <c r="BF28" s="652" t="s">
        <v>1637</v>
      </c>
      <c r="BG28" s="652" t="s">
        <v>1638</v>
      </c>
      <c r="BH28" s="652" t="s">
        <v>1639</v>
      </c>
    </row>
    <row r="29" spans="2:74" ht="15.95" customHeight="1" thickBot="1" x14ac:dyDescent="0.3">
      <c r="B29" s="441"/>
      <c r="C29" s="602" t="s">
        <v>1893</v>
      </c>
      <c r="D29" s="602"/>
      <c r="E29" s="602"/>
      <c r="F29" s="602"/>
      <c r="G29" s="602"/>
      <c r="H29" s="602"/>
      <c r="I29" s="602"/>
      <c r="J29" s="602"/>
      <c r="K29" s="602"/>
      <c r="L29" s="602"/>
      <c r="M29" s="602"/>
      <c r="N29" s="711" t="s">
        <v>1896</v>
      </c>
      <c r="O29" s="602"/>
      <c r="P29" s="602"/>
      <c r="Q29" s="602"/>
      <c r="R29" s="602"/>
      <c r="S29" s="602"/>
      <c r="T29" s="602"/>
      <c r="U29" s="602"/>
      <c r="V29" s="602"/>
      <c r="W29" s="602"/>
      <c r="X29" s="602"/>
      <c r="Y29" s="602"/>
      <c r="Z29" s="602"/>
      <c r="AA29" s="602"/>
      <c r="AB29" s="602"/>
      <c r="AC29" s="602"/>
      <c r="AD29" s="602"/>
      <c r="AE29" s="602"/>
      <c r="AF29" s="602"/>
      <c r="AG29" s="602"/>
      <c r="AH29" s="602"/>
      <c r="AI29" s="841"/>
      <c r="AJ29" s="711" t="s">
        <v>1961</v>
      </c>
      <c r="AK29" s="602"/>
      <c r="AL29" s="602"/>
      <c r="AM29" s="602"/>
      <c r="AN29" s="602"/>
      <c r="AO29" s="602"/>
      <c r="AP29" s="602"/>
      <c r="AQ29" s="602"/>
      <c r="AR29" s="448"/>
      <c r="AX29" s="715" t="s">
        <v>1962</v>
      </c>
      <c r="AY29" s="715"/>
      <c r="AZ29" s="326"/>
      <c r="BA29" s="326"/>
      <c r="BB29" s="326"/>
      <c r="BC29" s="652" t="s">
        <v>1966</v>
      </c>
      <c r="BD29" s="652" t="s">
        <v>1965</v>
      </c>
      <c r="BF29" s="716"/>
      <c r="BG29" s="716"/>
      <c r="BH29" s="716"/>
    </row>
    <row r="30" spans="2:74" ht="15.95" customHeight="1" x14ac:dyDescent="0.25">
      <c r="B30" s="441"/>
      <c r="C30" s="652" t="s">
        <v>1891</v>
      </c>
      <c r="D30" s="652"/>
      <c r="E30" s="652"/>
      <c r="F30" s="652" t="s">
        <v>1892</v>
      </c>
      <c r="G30" s="652"/>
      <c r="H30" s="652"/>
      <c r="I30" s="652"/>
      <c r="J30" s="652" t="s">
        <v>1960</v>
      </c>
      <c r="K30" s="652"/>
      <c r="L30" s="723" t="s">
        <v>1890</v>
      </c>
      <c r="M30" s="731"/>
      <c r="N30" s="835" t="s">
        <v>1897</v>
      </c>
      <c r="O30" s="723"/>
      <c r="P30" s="723"/>
      <c r="Q30" s="723"/>
      <c r="R30" s="723" t="s">
        <v>1894</v>
      </c>
      <c r="S30" s="723"/>
      <c r="T30" s="723"/>
      <c r="U30" s="723"/>
      <c r="V30" s="652" t="s">
        <v>1918</v>
      </c>
      <c r="W30" s="652"/>
      <c r="X30" s="652" t="s">
        <v>1960</v>
      </c>
      <c r="Y30" s="652"/>
      <c r="Z30" s="723" t="s">
        <v>1890</v>
      </c>
      <c r="AA30" s="723"/>
      <c r="AB30" s="652" t="s">
        <v>1895</v>
      </c>
      <c r="AC30" s="652"/>
      <c r="AD30" s="652" t="s">
        <v>1981</v>
      </c>
      <c r="AE30" s="652"/>
      <c r="AF30" s="723" t="s">
        <v>1963</v>
      </c>
      <c r="AG30" s="723"/>
      <c r="AH30" s="723"/>
      <c r="AI30" s="731"/>
      <c r="AJ30" s="652" t="s">
        <v>1917</v>
      </c>
      <c r="AK30" s="652"/>
      <c r="AL30" s="652"/>
      <c r="AM30" s="652"/>
      <c r="AN30" s="652" t="s">
        <v>1826</v>
      </c>
      <c r="AO30" s="652"/>
      <c r="AP30" s="652"/>
      <c r="AQ30" s="652"/>
      <c r="AR30" s="448"/>
      <c r="AT30" s="653" t="s">
        <v>157</v>
      </c>
      <c r="AU30" s="653" t="s">
        <v>158</v>
      </c>
      <c r="AV30" s="652" t="s">
        <v>1971</v>
      </c>
      <c r="AW30" s="652" t="s">
        <v>1972</v>
      </c>
      <c r="AX30" s="652" t="s">
        <v>1919</v>
      </c>
      <c r="AY30" s="652" t="s">
        <v>1920</v>
      </c>
      <c r="AZ30" s="652" t="s">
        <v>1039</v>
      </c>
      <c r="BA30" s="652" t="s">
        <v>92</v>
      </c>
      <c r="BB30" s="652" t="s">
        <v>1921</v>
      </c>
      <c r="BC30" s="652"/>
      <c r="BD30" s="652"/>
      <c r="BE30" s="653" t="s">
        <v>1140</v>
      </c>
      <c r="BF30" s="652" t="s">
        <v>1826</v>
      </c>
      <c r="BG30" s="652" t="s">
        <v>1826</v>
      </c>
      <c r="BH30" s="652" t="s">
        <v>2129</v>
      </c>
      <c r="BI30" s="653" t="s">
        <v>380</v>
      </c>
      <c r="BJ30" s="652" t="s">
        <v>2128</v>
      </c>
      <c r="BM30" s="652" t="s">
        <v>2115</v>
      </c>
      <c r="BN30" s="652" t="s">
        <v>2116</v>
      </c>
      <c r="BO30" s="652" t="s">
        <v>2117</v>
      </c>
      <c r="BP30" s="652" t="s">
        <v>2118</v>
      </c>
      <c r="BQ30" s="652" t="s">
        <v>2119</v>
      </c>
      <c r="BR30" s="652" t="s">
        <v>2120</v>
      </c>
      <c r="BS30" s="652" t="s">
        <v>2121</v>
      </c>
      <c r="BT30" s="652" t="s">
        <v>2122</v>
      </c>
      <c r="BU30" s="652" t="s">
        <v>2123</v>
      </c>
      <c r="BV30" s="652" t="s">
        <v>2124</v>
      </c>
    </row>
    <row r="31" spans="2:74" ht="15.95" customHeight="1" thickBot="1" x14ac:dyDescent="0.3">
      <c r="B31" s="441"/>
      <c r="C31" s="732"/>
      <c r="D31" s="732"/>
      <c r="E31" s="732"/>
      <c r="F31" s="732"/>
      <c r="G31" s="732"/>
      <c r="H31" s="732"/>
      <c r="I31" s="732"/>
      <c r="J31" s="732"/>
      <c r="K31" s="732"/>
      <c r="L31" s="724"/>
      <c r="M31" s="730"/>
      <c r="N31" s="836"/>
      <c r="O31" s="724"/>
      <c r="P31" s="724"/>
      <c r="Q31" s="724"/>
      <c r="R31" s="724"/>
      <c r="S31" s="724"/>
      <c r="T31" s="724"/>
      <c r="U31" s="724"/>
      <c r="V31" s="732"/>
      <c r="W31" s="732"/>
      <c r="X31" s="732"/>
      <c r="Y31" s="732"/>
      <c r="Z31" s="724"/>
      <c r="AA31" s="724"/>
      <c r="AB31" s="732"/>
      <c r="AC31" s="732"/>
      <c r="AD31" s="732"/>
      <c r="AE31" s="732"/>
      <c r="AF31" s="724" t="s">
        <v>72</v>
      </c>
      <c r="AG31" s="724"/>
      <c r="AH31" s="724" t="s">
        <v>1889</v>
      </c>
      <c r="AI31" s="730"/>
      <c r="AJ31" s="732"/>
      <c r="AK31" s="732"/>
      <c r="AL31" s="732"/>
      <c r="AM31" s="732"/>
      <c r="AN31" s="732"/>
      <c r="AO31" s="732"/>
      <c r="AP31" s="732"/>
      <c r="AQ31" s="732"/>
      <c r="AR31" s="448"/>
      <c r="AT31" s="653"/>
      <c r="AU31" s="653"/>
      <c r="AV31" s="653"/>
      <c r="AW31" s="653"/>
      <c r="AX31" s="653"/>
      <c r="AY31" s="653"/>
      <c r="AZ31" s="652"/>
      <c r="BA31" s="652"/>
      <c r="BB31" s="652"/>
      <c r="BC31" s="652"/>
      <c r="BD31" s="712"/>
      <c r="BE31" s="653"/>
      <c r="BF31" s="653"/>
      <c r="BG31" s="653"/>
      <c r="BH31" s="653"/>
      <c r="BI31" s="653"/>
      <c r="BJ31" s="653"/>
      <c r="BM31" s="658" t="s">
        <v>2125</v>
      </c>
      <c r="BN31" s="658"/>
      <c r="BO31" s="658"/>
      <c r="BP31" s="658"/>
      <c r="BQ31" s="658"/>
      <c r="BR31" s="658"/>
      <c r="BS31" s="658"/>
      <c r="BT31" s="658"/>
      <c r="BU31" s="658"/>
      <c r="BV31" s="658"/>
    </row>
    <row r="32" spans="2:74" ht="15.95" customHeight="1" x14ac:dyDescent="0.25">
      <c r="B32" s="698">
        <v>1</v>
      </c>
      <c r="C32" s="703"/>
      <c r="D32" s="704"/>
      <c r="E32" s="705"/>
      <c r="F32" s="709"/>
      <c r="G32" s="704"/>
      <c r="H32" s="704"/>
      <c r="I32" s="704"/>
      <c r="J32" s="699" t="str">
        <f>IF(OR(C32="Halogen",C32="Incandescent",C32="Exit Sign",F32=""),"",INDEX(CMLIGHTBASE[Base Watt 1],MATCH(F32,CMLIGHTBASE[Base Desc 1],0)))</f>
        <v/>
      </c>
      <c r="K32" s="691"/>
      <c r="L32" s="690"/>
      <c r="M32" s="699"/>
      <c r="N32" s="837"/>
      <c r="O32" s="838"/>
      <c r="P32" s="838"/>
      <c r="Q32" s="839"/>
      <c r="R32" s="840"/>
      <c r="S32" s="838"/>
      <c r="T32" s="838"/>
      <c r="U32" s="839"/>
      <c r="V32" s="690" t="str">
        <f t="shared" ref="V32" si="0">IF(N32="","",IF(ISNUMBER(SEARCH("Type",N32)),"","N/A"))</f>
        <v/>
      </c>
      <c r="W32" s="691"/>
      <c r="X32" s="690"/>
      <c r="Y32" s="691"/>
      <c r="Z32" s="733"/>
      <c r="AA32" s="734"/>
      <c r="AB32" s="690" t="str">
        <f t="shared" ref="AB32" si="1">IF(C32="Exit Sign", 8760,"")</f>
        <v/>
      </c>
      <c r="AC32" s="691"/>
      <c r="AD32" s="733"/>
      <c r="AE32" s="734"/>
      <c r="AF32" s="713"/>
      <c r="AG32" s="714"/>
      <c r="AH32" s="661"/>
      <c r="AI32" s="662"/>
      <c r="AJ32" s="665" t="str">
        <f>IF(OR(C32="",F32="",J32="",L32="",N32="",R32="",X32="",Z32="",AB32="",AF32="",AH32="",AD32=""),"",IFERROR(ROUND(IF((AV32-AW32)&lt;=0,0,IF(M02S02F32&lt;&gt;"",INDEX(SPACEHEAT[HIF],MATCH(M02S02F32,SHEAT,0))*(AV32-AW32),(AV32-AW32))),0),""))</f>
        <v/>
      </c>
      <c r="AK32" s="666"/>
      <c r="AL32" s="666"/>
      <c r="AM32" s="667"/>
      <c r="AN32" s="671" t="str">
        <f>BH32</f>
        <v/>
      </c>
      <c r="AO32" s="672"/>
      <c r="AP32" s="672"/>
      <c r="AQ32" s="673"/>
      <c r="AR32" s="448"/>
      <c r="AT32" s="686" t="str">
        <f>IF(OR(C32="",F32="",J32="",L32="",N32="",R32="",X32="",Z32="",AB32="",AF32="",AH32="",AD32=""),"",(ROUND((AF32+AH32)*Z32,2)))</f>
        <v/>
      </c>
      <c r="AU32" s="685" t="str">
        <f>IF(OR(C32="",F32="",J32="",L32="",N32="",R32="",X32="",Z32="",AB32="",AF32="",AH32="",AD32=""),"",ROUND(AJ32*INDEX(ENDUSEALL[Factor],MATCH("Lighting",ENDUSEALL[End Use to Coincident Peak Demand Factors],0)),4))</f>
        <v/>
      </c>
      <c r="AV32" s="660" t="str">
        <f>IF(OR(C32="",F32="",J32="",L32="",N32="",R32="",X32="",Z32="",AB32="",AF32="",AH32="",AD32=""),"",IF(C32="Incandescent",ROUND(0.24*J32*L32*AB32/1000,0),
IF(C32="Halogen",ROUND(0.34*J32*L32*AB32/1000,0),ROUND(L32*AB32*J32/1000,0))))</f>
        <v/>
      </c>
      <c r="AW32" s="660" t="str">
        <f>IF(OR(C32="",F32="",J32="",L32="",N32="",R32="",X32="",Z32="",AB32="",AF32="",AH32="",AD32=""),"",IF(ISNUMBER(SEARCH("Network",N32)),ROUND(0.76*AB32*Z32*X32/1000,0),ROUND(X32*AB32*Z32/1000,0)))</f>
        <v/>
      </c>
      <c r="AX32" s="687" t="str">
        <f>IF(OR(C32="",F32="",J32="",L32="",N32="",R32="",X32="",Z32="",AB32="",AF32="",AH32="",AD32=""),"",
IF(AND(L32&gt;=Z32,ISNUMBER(SEARCH("Type",N32))),ROUND(Z32*LEFT(INDEX(CMLIGHTBASE[Measure Subgroup 2], MATCH(F32,CMLIGHTBASE[Base Desc 1],0)),2)*J32/LEFT(INDEX(CMLIGHTBASE[Measure Subgroup 2], MATCH(F32,CMLIGHTBASE[Base Desc 1],0)),2),0),
IF(AND(L32&lt;Z32,ISNUMBER(SEARCH("Type",N32))),ROUND(L32*LEFT(INDEX(CMLIGHTBASE[Measure Subgroup 2], MATCH(F32,CMLIGHTBASE[Base Desc 1],0)),2)*J32/LEFT(INDEX(CMLIGHTBASE[Measure Subgroup 2], MATCH(F32,CMLIGHTBASE[Base Desc 1],0)),2),0),
IF(AND(OR(ISNUMBER(SEARCH("Fixture",N32)),ISNUMBER(SEARCH("Kit",N32))),L32&gt;=Z32,ISNUMBER(SEARCH("Linear",C32))),Z32*J32,
IF(C32="Incandescent",0.24*J32*L32,IF(C32="Halogen",0.34*J32*L32,L32*J32))))))</f>
        <v/>
      </c>
      <c r="AY32" s="689" t="str">
        <f>IF(OR(C32="",F32="",J32="",L32="",N32="",R32="",X32="",Z32="",AB32="",AF32="",AH32="",AD32=""),"",IF(AND(L32&gt;=Z32,ISNUMBER(SEARCH("Type",N32))),ROUND(Z32*LEFT(INDEX(CMLIGHTBASE[Measure Subgroup 2], MATCH(F32,CMLIGHTBASE[Base Desc 1],0)),2)*X32/V32,0),IF(AND(L32&lt;Z32,ISNUMBER(SEARCH("Type",N32))),ROUND(L32*LEFT(INDEX(CMLIGHTBASE[Measure Subgroup 2], MATCH(F32,CMLIGHTBASE[Base Desc 1],0)),2)*X32/V32,0),IF(OR(ISNUMBER(SEARCH("Fixture",N32)),ISNUMBER(SEARCH("Kit",N32))),Z32*X32,Z32*X32))))</f>
        <v/>
      </c>
      <c r="AZ32" s="689" t="str">
        <f>IF(OR(C32="Incandescent",C32="Halogen",C32="Exit Sign"),CONCATENATE(C32,"-",F32),IF(C32="Pulse Start Metal Halide",CONCATENATE("Metal Halide-",N32),CONCATENATE(C32,"-",N32)))</f>
        <v>-</v>
      </c>
      <c r="BA32" s="689" t="str">
        <f>IF(OR(C32="",F32="",J32="",L32="",N32="",R32="",X32="",Z32="",AB32="",AF32="",AH32="",AD32=""),"",
IF(ISNUMBER(SEARCH("Linear",C32)),INDEX(PMELIGHTLIN[Measure '#],MATCH(AZ32,PMELIGHTLIN[Measure Validator],0)),
IF(OR(C32="Metal Halide",C32="Pulse Start Metal Halide",C32="HP Sodium",C32="Mercury Vapor"),INDEX(PMELIGHTHID[Measure '#],MATCH(AZ32,PMELIGHTHID[Measure Validator],0)),
IF(OR(C32="Incandescent",C32="Halogen",C32="Exit Sign"),INDEX(PMELIGHTINCAN[Measure '#],MATCH(AZ32,PMELIGHTINCAN[Measure Validator],0))))))</f>
        <v/>
      </c>
      <c r="BB32" s="689" t="str">
        <f ca="1">IFERROR(IF(OR(C32="",F32="",J32="",L32="",N32="",R32="",X32="",Z32="",AB32="",AF32="",AH32="",AD32=""),"",IF(AND(ISNUMBER(SEARCH("Linear",C32)),OR(ISNUMBER(SEARCH("Yes",M02S02F44)),M02S02F44="")),INDEX(PMELIGHTLIN[Inc Rate Unit FT],MATCH(AZ32,PMELIGHTLIN[Measure Validator],0)),IF(AND(ISNUMBER(SEARCH("Linear",C32)),OR(ISNUMBER(SEARCH("No",M02S02F44)))),INDEX(PMELIGHTLIN[Inc Rate Unit PA],MATCH(AZ32,PMELIGHTLIN[Measure Validator],0)),IF(OR(C32="Metal Halide",C32="Pulse Start Metal Halide",C32="HP Sodium",C32="Mercury Vapor"),INDEX(PMELIGHTHID[Inc Rate Unit],MATCH(AZ32,PMELIGHTHID[Measure Validator],0)),IF(OR(C32="Incandescent",C32="Halogen",C32="Exit Sign"),INDEX(PMELIGHTINCAN[Inc Rate Unit],MATCH(AZ32,PMELIGHTINCAN[Measure Validator],0)))))))*IF(AND(ISNUMBER(SEARCH("NO",M02S02F44)),M02S02F43&lt;=DATEVALUE("12/31/2021"),TODAY()&lt;=LIGHTING2021,OR(C32="Metal Halide",C32="Pulse Start Metal Halide",C32="HP Sodium",C32="Mercury Vapor",ISNUMBER(SEARCH("Linear",C32)))),LIGHTRATE21,1),"")</f>
        <v/>
      </c>
      <c r="BC32" s="689">
        <f>IFERROR(ROUND(IF(BA32="","",IF(OR(ISNUMBER(SEARCH("Yes",M02S02F44)),M02S02F44=""),IF(AND(L32&gt;=Z32,ISNUMBER(SEARCH("Type",N32))),BB32*(Z32*V32)*LEFT(INDEX(CMLIGHTBASE[Measure Subgroup 1], MATCH(F32,CMLIGHTBASE[Base Desc 1],0)),1),IF(AND(L32&lt;Z32,ISNUMBER(SEARCH("Type",N32))),BB32*(V32*L32)*LEFT(INDEX(CMLIGHTBASE[Measure Subgroup 1], MATCH(F32,CMLIGHTBASE[Base Desc 1],0)),1),0)),IF(ISNUMBER(SEARCH("Type",N32)),(AX32-AY32)*BB32,0))),2),0)</f>
        <v>0</v>
      </c>
      <c r="BD32" s="689" t="str">
        <f>IFERROR((IF(BA32="","",IF(ISNUMBER(SEARCH("Type",N32)),0,IF(OR(C32="Incandescent",C32="Halogen",C32="Exit Sign"),Z32*BB32,IF(L32&gt;=Z32,((Z32*J32)-(Z32*X32)),((L32*J32)-(Z32*X32)))*BB32)))),0)</f>
        <v/>
      </c>
      <c r="BE32" s="685"/>
      <c r="BF32" s="683">
        <f t="shared" ref="BF32" si="2">IFERROR(ROUND(BH32*1.1,2),0)</f>
        <v>0</v>
      </c>
      <c r="BG32" s="654" t="str">
        <f>IF(OR(C32="",F32="",J32="",L32="",N32="",R32="",X32="",Z32="",AB32="",AF32="",AH32="",AD32=""),"",IF(BI32&lt;&gt;"",BI32,ROUND(BF32*BONUSADJ,2)))</f>
        <v/>
      </c>
      <c r="BH32" s="654" t="str">
        <f t="shared" ref="BH32:BH50" si="3">BJ32</f>
        <v/>
      </c>
      <c r="BI32" s="684" t="str">
        <f>IF(OR(C32="",F32="",J32="",L32="",N32="",R32="",X32="",Z32="",AB32="",AF32="",AH32="",AD32=""),"",IFERROR(IF(Z32&lt;&gt;L32,"One-for-One Replacement Only",IF(((J32*L32)-(X32*Z32))&lt;=0,"No Savings",IF((AX32-AY32)&lt;=0,"No Incentive",IF(AND(ISNUMBER(SEARCH("Linear",C32)),AD32&lt;50000),"Lamp Life Too Short","")))),"Submit for Review"))</f>
        <v/>
      </c>
      <c r="BJ32" s="654" t="str">
        <f>IF(OR(C32="",F32="",J32="",L32="",N32="",R32="",X32="",Z32="",AB32="",AF32="",AH32="",AD32=""),"",IF(BI32&lt;&gt;"",BI32,MIN(IF(ISNUMBER(SEARCH("Type",N32)),BC32,BD32),AT32)))</f>
        <v/>
      </c>
      <c r="BM32" s="650" t="str">
        <f>IF(OR(C32="",F32="",J32="",L32="",N32="",R32="",X32="",Z32="",AB32="",AF32="",AH32="",AD32=""),"",IFERROR("SBDI","Standard"))</f>
        <v/>
      </c>
      <c r="BN32" s="655">
        <f>SUMIF($BM$32:BM33,"=SBDI",$BQ$32:BQ33)</f>
        <v>0</v>
      </c>
      <c r="BO32" s="655">
        <f ca="1">IFERROR(IF(AND(BM32="SBDI",BB32*(AX32-AY32)&gt;BT32),(BB32*(AX32-AY32))-BT32,IF(AND(BM32="Standard",BB32*(AX32-AY32)&gt;BP32),(BB32*(AX32-AY32))-BP32,0)),0)</f>
        <v>0</v>
      </c>
      <c r="BP32" s="655" t="str">
        <f>IF(OR(C32="",F32="",J32="",L32="",N32="",R32="",X32="",Z32="",AB32="",AF32="",AH32="",AD32=""),"",ROUND(MIN(AT32,IF(ISNUMBER(SEARCH("Linear",C32)),INDEX(PMELIGHTLIN[Inc Rate Unit PA],MATCH(AZ32,PMELIGHTLIN[Measure Validator],0))*(AX32-AY32),IF(ISNUMBER(SEARCH("Exit",C32)),INDEX(PMELIGHTINCAN[Inc Rate Unit],MATCH(AZ32,PMELIGHTINCAN[Measure Validator],0))*Z32,INDEX(PMELIGHTHID[Inc Rate Unit],MATCH(AZ32,PMELIGHTHID[Measure Validator],0))*(AX32-AY32)))),2))</f>
        <v/>
      </c>
      <c r="BQ32" s="655" t="str">
        <f>IF(OR(C32="",F32="",J32="",L32="",N32="",R32="",X32="",Z32="",AB32="",AF32="",AH32="",AD32=""),"",
IF(AND(BM32="SBDI",ISNUMBER(SEARCH("Linear",C32))),ROUND(MIN(AT32,INDEX(PMELIGHTLIN[Inc Rate SBDI],MATCH(AZ32,PMELIGHTLIN[Measure Validator],0))*(AX32-AY32),SBDICAP),2),
IF(AND(BM32="SBDI",ISNUMBER(SEARCH("Exit",C32))),ROUND(MIN(AT32,INDEX(PMELIGHTINCAN[Inc Rate SBDI],MATCH(AZ32,PMELIGHTINCAN[Measure Validator],0))*Z32,SBDICAP),2),
IF(AND(BM32="SBDI",OR(ISNUMBER(SEARCH("Sodium",C32)),ISNUMBER(SEARCH("Vapor",C32)),ISNUMBER(SEARCH("Halide",C32)),ISNUMBER(SEARCH("Linear",C32)))),ROUND(MIN(AT32,INDEX(PMELIGHTHID[Inc Rate SBDI],MATCH(AZ32,PMELIGHTHID[Measure Validator],0))*(AX32-AY32),SBDICAP),2),
IF(AND(BM32="Standard",ISNUMBER(SEARCH("Linear",C32))),ROUND(MIN(AT32,INDEX(PMELIGHTLIN[Inc Rate Unit PA],MATCH(AZ32,PMELIGHTLIN[Measure Validator],0))*(AX32-AY32)),2),
IF(AND(BM32="Standard",ISNUMBER(SEARCH("Exit",C32))),ROUND(MIN(AT32,INDEX(PMELIGHTINCAN[Inc Rate Unit],MATCH(AZ32,PMELIGHTINCAN[Measure Validator],0))*Z32),2),
IF(AND(BM32="Standard",OR(ISNUMBER(SEARCH("Sodium",C32)),ISNUMBER(SEARCH("Vapor",C32)),ISNUMBER(SEARCH("Halide",C32)),ISNUMBER(SEARCH("Linear",C32)))),ROUND(MIN(AT32,INDEX(PMELIGHTHID[Inc Rate Unit],MATCH(AZ32,PMELIGHTHID[Measure Validator],0))*(AX32-AY32)),2))))))))</f>
        <v/>
      </c>
      <c r="BR32" s="656">
        <f>IF(AND(BM32="SBDI",BN32&gt;=SBDICAP),
IF(ISNUMBER(SEARCH("Linear",C32)),ROUNDUP((((INDEX(PMELIGHTLIN[Inc Rate SBDI],MATCH(AZ32,PMELIGHTLIN[Measure Validator],0))*(AX32-AY32)-BQ32))/BB32),0),
IF(ISNUMBER(SEARCH("Exit",C32)),ROUNDUP((((INDEX(PMELIGHTINCAN[Inc Rate SBDI],MATCH(AZ32,PMELIGHTLIN[Measure Validator],0))*(Z32)-BQ32))/BB32),0),
ROUNDUP((((INDEX(PMELIGHTHID[Inc Rate SBDI],MATCH(AZ32,PMELIGHTHID[Measure Validator],0))*(AX32-AY32)-BQ32))/BB32),0))),0)</f>
        <v>0</v>
      </c>
      <c r="BS32" s="650">
        <f>IFERROR(IF(ISNUMBER(SEARCH("Linear",C32)),
IF(MIN(INDEX(PMELIGHTLIN[Inc Rate Unit PA],MATCH(AZ32,PMELIGHTLIN[Measure Validator],0))*BR32,AT32-BT32)&lt;0,0,MIN(INDEX(PMELIGHTLIN[Inc Rate Unit PA],MATCH(AZ32,PMELIGHTLIN[Measure Validator],0))*BR32,AT32-BT32)),
IF(ISNUMBER(SEARCH("Exit",C32)),
IF(MIN(INDEX(PMELIGHTINCAN[Inc Rate Unit],MATCH(AZ32,PMELIGHTINCAN[Measure Validator],0))*BR32,AT32-BT32)&lt;0,0,MIN(INDEX(PMELIGHTINCAN[Inc Rate Unit],MATCH(AZ32,PMELIGHTINCAN[Measure Validator],0))*BR32,AT32-BT32)),
IF(MIN(INDEX(PMELIGHTHID[Inc Rate Unit],MATCH(AZ32,PMELIGHTHID[Measure Validator],0))*BR32,AT32-BT32)&lt;0,0,MIN(INDEX(PMELIGHTHID[Inc Rate Unit],MATCH(AZ32,PMELIGHTHID[Measure Validator],0))*BR32,AT32-BT32)))),0)</f>
        <v>0</v>
      </c>
      <c r="BT32" s="650" t="str">
        <f>IF(BR32=0,BQ32,
IF(ISNUMBER(SEARCH("Exit",C32)),Z32-BR32*BB32,((AX32-AY32)-BR32)*BB32))</f>
        <v/>
      </c>
      <c r="BU32" s="650">
        <f>ROUND(SUMIF($BM$32:BM33,"=SBDI",$BT$32:BT33),2)</f>
        <v>0</v>
      </c>
      <c r="BV32" s="650" t="str">
        <f>IF(AND(BM32="SBDI",BR32&lt;&gt;0),BS32+BT32,
IF(AND(BM32="SBDI",BR32=0),BQ32,BP32))</f>
        <v/>
      </c>
    </row>
    <row r="33" spans="2:74" ht="15.95" customHeight="1" x14ac:dyDescent="0.25">
      <c r="B33" s="698"/>
      <c r="C33" s="706"/>
      <c r="D33" s="707"/>
      <c r="E33" s="708"/>
      <c r="F33" s="710"/>
      <c r="G33" s="707"/>
      <c r="H33" s="707"/>
      <c r="I33" s="707"/>
      <c r="J33" s="700"/>
      <c r="K33" s="693"/>
      <c r="L33" s="692"/>
      <c r="M33" s="700"/>
      <c r="N33" s="706"/>
      <c r="O33" s="707"/>
      <c r="P33" s="707"/>
      <c r="Q33" s="708"/>
      <c r="R33" s="710"/>
      <c r="S33" s="707"/>
      <c r="T33" s="707"/>
      <c r="U33" s="708"/>
      <c r="V33" s="692"/>
      <c r="W33" s="693"/>
      <c r="X33" s="692"/>
      <c r="Y33" s="693"/>
      <c r="Z33" s="692"/>
      <c r="AA33" s="693"/>
      <c r="AB33" s="692"/>
      <c r="AC33" s="693"/>
      <c r="AD33" s="692"/>
      <c r="AE33" s="693"/>
      <c r="AF33" s="663"/>
      <c r="AG33" s="682"/>
      <c r="AH33" s="663"/>
      <c r="AI33" s="664"/>
      <c r="AJ33" s="668"/>
      <c r="AK33" s="669"/>
      <c r="AL33" s="669"/>
      <c r="AM33" s="670"/>
      <c r="AN33" s="674"/>
      <c r="AO33" s="675"/>
      <c r="AP33" s="675"/>
      <c r="AQ33" s="676"/>
      <c r="AR33" s="448"/>
      <c r="AT33" s="686"/>
      <c r="AU33" s="685"/>
      <c r="AV33" s="660"/>
      <c r="AW33" s="660"/>
      <c r="AX33" s="688"/>
      <c r="AY33" s="689"/>
      <c r="AZ33" s="689"/>
      <c r="BA33" s="689"/>
      <c r="BB33" s="689"/>
      <c r="BC33" s="689"/>
      <c r="BD33" s="689"/>
      <c r="BE33" s="685"/>
      <c r="BF33" s="683"/>
      <c r="BG33" s="654"/>
      <c r="BH33" s="654"/>
      <c r="BI33" s="685"/>
      <c r="BJ33" s="654"/>
      <c r="BM33" s="651"/>
      <c r="BN33" s="650"/>
      <c r="BO33" s="650"/>
      <c r="BP33" s="650"/>
      <c r="BQ33" s="650"/>
      <c r="BR33" s="657"/>
      <c r="BS33" s="651"/>
      <c r="BT33" s="651"/>
      <c r="BU33" s="651"/>
      <c r="BV33" s="651"/>
    </row>
    <row r="34" spans="2:74" ht="15.95" customHeight="1" x14ac:dyDescent="0.25">
      <c r="B34" s="698">
        <v>2</v>
      </c>
      <c r="C34" s="703"/>
      <c r="D34" s="704"/>
      <c r="E34" s="705"/>
      <c r="F34" s="709"/>
      <c r="G34" s="704"/>
      <c r="H34" s="704"/>
      <c r="I34" s="704"/>
      <c r="J34" s="699" t="str">
        <f>IF(OR(C34="Halogen",C34="Incandescent",C34="Exit Sign",F34=""),"",INDEX(CMLIGHTBASE[Base Watt 1],MATCH(F34,CMLIGHTBASE[Base Desc 1],0)))</f>
        <v/>
      </c>
      <c r="K34" s="691"/>
      <c r="L34" s="690"/>
      <c r="M34" s="699"/>
      <c r="N34" s="703"/>
      <c r="O34" s="704"/>
      <c r="P34" s="704"/>
      <c r="Q34" s="705"/>
      <c r="R34" s="709"/>
      <c r="S34" s="704"/>
      <c r="T34" s="704"/>
      <c r="U34" s="705"/>
      <c r="V34" s="690" t="str">
        <f t="shared" ref="V34" si="4">IF(N34="","",IF(ISNUMBER(SEARCH("Type",N34)),"","N/A"))</f>
        <v/>
      </c>
      <c r="W34" s="691"/>
      <c r="X34" s="690"/>
      <c r="Y34" s="691"/>
      <c r="Z34" s="690"/>
      <c r="AA34" s="691"/>
      <c r="AB34" s="690" t="str">
        <f t="shared" ref="AB34" si="5">IF(C34="Exit Sign", 8760,"")</f>
        <v/>
      </c>
      <c r="AC34" s="691"/>
      <c r="AD34" s="690"/>
      <c r="AE34" s="691"/>
      <c r="AF34" s="661"/>
      <c r="AG34" s="681"/>
      <c r="AH34" s="661"/>
      <c r="AI34" s="662"/>
      <c r="AJ34" s="665" t="str">
        <f>IF(OR(C34="",F34="",J34="",L34="",N34="",R34="",X34="",Z34="",AB34="",AF34="",AH34="",AD34=""),"",IFERROR(ROUND(IF((AV34-AW34)&lt;=0,0,IF(M02S02F32&lt;&gt;"",INDEX(SPACEHEAT[HIF],MATCH(M02S02F32,SHEAT,0))*(AV34-AW34),(AV34-AW34))),0),""))</f>
        <v/>
      </c>
      <c r="AK34" s="666"/>
      <c r="AL34" s="666"/>
      <c r="AM34" s="667"/>
      <c r="AN34" s="671" t="str">
        <f t="shared" ref="AN34" si="6">BH34</f>
        <v/>
      </c>
      <c r="AO34" s="672"/>
      <c r="AP34" s="672"/>
      <c r="AQ34" s="673"/>
      <c r="AR34" s="448"/>
      <c r="AT34" s="686" t="str">
        <f>IF(OR(C34="",F34="",J34="",L34="",N34="",R34="",X34="",Z34="",AB34="",AF34="",AH34="",AD34=""),"",(ROUND((AF34+AH34)*Z34,2)))</f>
        <v/>
      </c>
      <c r="AU34" s="685" t="str">
        <f>IF(OR(C34="",F34="",J34="",L34="",N34="",R34="",X34="",Z34="",AB34="",AF34="",AH34="",AD34=""),"",ROUND(AJ34*INDEX(ENDUSEALL[Factor],MATCH("Lighting",ENDUSEALL[End Use to Coincident Peak Demand Factors],0)),4))</f>
        <v/>
      </c>
      <c r="AV34" s="660" t="str">
        <f>IF(OR(C34="",F34="",J34="",L34="",N34="",R34="",X34="",Z34="",AB34="",AF34="",AH34="",AD34=""),"",IF(C34="Incandescent",ROUND(0.24*J34*L34*AB34/1000,0),
IF(C34="Halogen",ROUND(0.34*J34*L34*AB34/1000,0),ROUND(L34*AB34*J34/1000,0))))</f>
        <v/>
      </c>
      <c r="AW34" s="660" t="str">
        <f>IF(OR(C34="",F34="",J34="",L34="",N34="",R34="",X34="",Z34="",AB34="",AF34="",AH34="",AD34=""),"",IF(ISNUMBER(SEARCH("Network",N34)),ROUND(0.76*AB34*Z34*X34/1000,0),ROUND(X34*AB34*Z34/1000,0)))</f>
        <v/>
      </c>
      <c r="AX34" s="687" t="str">
        <f>IF(OR(C34="",F34="",J34="",L34="",N34="",R34="",X34="",Z34="",AB34="",AF34="",AH34="",AD34=""),"",
IF(AND(L34&gt;=Z34,ISNUMBER(SEARCH("Type",N34))),ROUND(Z34*LEFT(INDEX(CMLIGHTBASE[Measure Subgroup 2], MATCH(F34,CMLIGHTBASE[Base Desc 1],0)),2)*J34/LEFT(INDEX(CMLIGHTBASE[Measure Subgroup 2], MATCH(F34,CMLIGHTBASE[Base Desc 1],0)),2),0),
IF(AND(L34&lt;Z34,ISNUMBER(SEARCH("Type",N34))),ROUND(L34*LEFT(INDEX(CMLIGHTBASE[Measure Subgroup 2], MATCH(F34,CMLIGHTBASE[Base Desc 1],0)),2)*J34/LEFT(INDEX(CMLIGHTBASE[Measure Subgroup 2], MATCH(F34,CMLIGHTBASE[Base Desc 1],0)),2),0),
IF(AND(OR(ISNUMBER(SEARCH("Fixture",N34)),ISNUMBER(SEARCH("Kit",N34))),L34&gt;=Z34,ISNUMBER(SEARCH("Linear",C34))),Z34*J34,
IF(C34="Incandescent",0.24*J34*L34,IF(C34="Halogen",0.34*J34*L34,L34*J34))))))</f>
        <v/>
      </c>
      <c r="AY34" s="689" t="str">
        <f>IF(OR(C34="",F34="",J34="",L34="",N34="",R34="",X34="",Z34="",AB34="",AF34="",AH34="",AD34=""),"",IF(AND(L34&gt;=Z34,ISNUMBER(SEARCH("Type",N34))),ROUND(Z34*LEFT(INDEX(CMLIGHTBASE[Measure Subgroup 2], MATCH(F34,CMLIGHTBASE[Base Desc 1],0)),2)*X34/V34,0),IF(AND(L34&lt;Z34,ISNUMBER(SEARCH("Type",N34))),ROUND(L34*LEFT(INDEX(CMLIGHTBASE[Measure Subgroup 2], MATCH(F34,CMLIGHTBASE[Base Desc 1],0)),2)*X34/V34,0),IF(OR(ISNUMBER(SEARCH("Fixture",N34)),ISNUMBER(SEARCH("Kit",N34))),Z34*X34,Z34*X34))))</f>
        <v/>
      </c>
      <c r="AZ34" s="689" t="str">
        <f>IF(OR(C34="Incandescent",C34="Halogen",C34="Exit Sign"),CONCATENATE(C34,"-",F34),IF(C34="Pulse Start Metal Halide",CONCATENATE("Metal Halide-",N34),CONCATENATE(C34,"-",N34)))</f>
        <v>-</v>
      </c>
      <c r="BA34" s="689" t="str">
        <f>IF(OR(C34="",F34="",J34="",L34="",N34="",R34="",X34="",Z34="",AB34="",AF34="",AH34="",AD34=""),"",
IF(ISNUMBER(SEARCH("Linear",C34)),INDEX(PMELIGHTLIN[Measure '#],MATCH(AZ34,PMELIGHTLIN[Measure Validator],0)),
IF(OR(C34="Metal Halide",C34="Pulse Start Metal Halide",C34="HP Sodium",C34="Mercury Vapor"),INDEX(PMELIGHTHID[Measure '#],MATCH(AZ34,PMELIGHTHID[Measure Validator],0)),
IF(OR(C34="Incandescent",C34="Halogen",C34="Exit Sign"),INDEX(PMELIGHTINCAN[Measure '#],MATCH(AZ34,PMELIGHTINCAN[Measure Validator],0))))))</f>
        <v/>
      </c>
      <c r="BB34" s="689" t="str">
        <f ca="1">IFERROR(IF(OR(C34="",F34="",J34="",L34="",N34="",R34="",X34="",Z34="",AB34="",AF34="",AH34="",AD34=""),"",IF(AND(ISNUMBER(SEARCH("Linear",C34)),OR(ISNUMBER(SEARCH("Yes",M02S02F44)),M02S02F44="")),INDEX(PMELIGHTLIN[Inc Rate Unit FT],MATCH(AZ34,PMELIGHTLIN[Measure Validator],0)),IF(AND(ISNUMBER(SEARCH("Linear",C34)),OR(ISNUMBER(SEARCH("No",M02S02F44)))),INDEX(PMELIGHTLIN[Inc Rate Unit PA],MATCH(AZ34,PMELIGHTLIN[Measure Validator],0)),IF(OR(C34="Metal Halide",C34="Pulse Start Metal Halide",C34="HP Sodium",C34="Mercury Vapor"),INDEX(PMELIGHTHID[Inc Rate Unit],MATCH(AZ34,PMELIGHTHID[Measure Validator],0)),IF(OR(C34="Incandescent",C34="Halogen",C34="Exit Sign"),INDEX(PMELIGHTINCAN[Inc Rate Unit],MATCH(AZ34,PMELIGHTINCAN[Measure Validator],0)))))))*IF(AND(ISNUMBER(SEARCH("NO",M02S02F44)),M02S02F43&lt;=DATEVALUE("12/31/2021"),TODAY()&lt;=LIGHTING2021,OR(C34="Metal Halide",C34="Pulse Start Metal Halide",C34="HP Sodium",C34="Mercury Vapor",ISNUMBER(SEARCH("Linear",C34)))),LIGHTRATE21,1),"")</f>
        <v/>
      </c>
      <c r="BC34" s="689">
        <f>IFERROR(ROUND(IF(BA34="","",IF(OR(ISNUMBER(SEARCH("Yes",M02S02F44)),M02S02F44=""),IF(AND(L34&gt;=Z34,ISNUMBER(SEARCH("Type",N34))),BB34*(Z34*V34)*LEFT(INDEX(CMLIGHTBASE[Measure Subgroup 1], MATCH(F34,CMLIGHTBASE[Base Desc 1],0)),1),IF(AND(L34&lt;Z34,ISNUMBER(SEARCH("Type",N34))),BB34*(V34*L34)*LEFT(INDEX(CMLIGHTBASE[Measure Subgroup 1], MATCH(F34,CMLIGHTBASE[Base Desc 1],0)),1),0)),IF(ISNUMBER(SEARCH("Type",N34)),(AX34-AY34)*BB34,0))),2),0)</f>
        <v>0</v>
      </c>
      <c r="BD34" s="689" t="str">
        <f t="shared" ref="BD34" si="7">IFERROR((IF(BA34="","",IF(ISNUMBER(SEARCH("Type",N34)),0,IF(OR(C34="Incandescent",C34="Halogen",C34="Exit Sign"),Z34*BB34,IF(L34&gt;=Z34,((Z34*J34)-(Z34*X34)),((L34*J34)-(Z34*X34)))*BB34)))),0)</f>
        <v/>
      </c>
      <c r="BE34" s="685"/>
      <c r="BF34" s="683">
        <f t="shared" ref="BF34" si="8">IFERROR(ROUND(BH34*1.1,2),0)</f>
        <v>0</v>
      </c>
      <c r="BG34" s="654" t="str">
        <f>IF(OR(C34="",F34="",J34="",L34="",N34="",R34="",X34="",Z34="",AB34="",AF34="",AH34="",AD34=""),"",IF(BI34&lt;&gt;"",BI34,ROUND(BF34*BONUSADJ,2)))</f>
        <v/>
      </c>
      <c r="BH34" s="654" t="str">
        <f t="shared" si="3"/>
        <v/>
      </c>
      <c r="BI34" s="684" t="str">
        <f t="shared" ref="BI34" si="9">IF(OR(C34="",F34="",J34="",L34="",N34="",R34="",X34="",Z34="",AB34="",AF34="",AH34="",AD34=""),"",IFERROR(IF(Z34&lt;&gt;L34,"One-for-One Replacement Only",IF(((J34*L34)-(X34*Z34))&lt;=0,"No Savings",IF((AX34-AY34)&lt;=0,"No Incentive",IF(AND(ISNUMBER(SEARCH("Linear",C34)),AD34&lt;50000),"Lamp Life Too Short","")))),"Submit for Review"))</f>
        <v/>
      </c>
      <c r="BJ34" s="654" t="str">
        <f t="shared" ref="BJ34" si="10">IF(OR(C34="",F34="",J34="",L34="",N34="",R34="",X34="",Z34="",AB34="",AF34="",AH34="",AD34=""),"",IF(BI34&lt;&gt;"",BI34,MIN(IF(ISNUMBER(SEARCH("Type",N34)),BC34,BD34),AT34)))</f>
        <v/>
      </c>
      <c r="BM34" s="650" t="str">
        <f>IF(OR(C34="",F34="",J34="",L34="",N34="",R34="",X34="",Z34="",AB34="",AF34="",AH34="",AD34=""),"",IFERROR(IF(BN32&lt;SBDICAP,"SBDI","Standard"),""))</f>
        <v/>
      </c>
      <c r="BN34" s="655">
        <f>SUMIF($BM$32:BM33,"=SBDI",$BQ$32:BQ33)+IF(BM34="SBDI",BQ34,0)</f>
        <v>0</v>
      </c>
      <c r="BO34" s="655">
        <f ca="1">IFERROR(IF(AND(BM34="SBDI",BB34*(AX34-AY34)&gt;BT34),(BB34*(AX34-AY34))-BT34,IF(AND(BM34="Standard",BB34*(AX34-AY34)&gt;BP34),(BB34*(AX34-AY34))-BP34,0)),0)</f>
        <v>0</v>
      </c>
      <c r="BP34" s="655" t="str">
        <f>IF(OR(C34="",F34="",J34="",L34="",N34="",R34="",X34="",Z34="",AB34="",AF34="",AH34="",AD34=""),"",ROUND(MIN(AT34,IF(ISNUMBER(SEARCH("Linear",C34)),INDEX(PMELIGHTLIN[Inc Rate Unit PA],MATCH(AZ34,PMELIGHTLIN[Measure Validator],0))*(AX34-AY34),IF(ISNUMBER(SEARCH("Exit",C34)),INDEX(PMELIGHTINCAN[Inc Rate Unit],MATCH(AZ34,PMELIGHTINCAN[Measure Validator],0))*Z34,INDEX(PMELIGHTHID[Inc Rate Unit],MATCH(AZ34,PMELIGHTHID[Measure Validator],0))*(AX34-AY34)))),2))</f>
        <v/>
      </c>
      <c r="BQ34" s="655" t="str">
        <f>IF(OR(C34="",F34="",J34="",L34="",N34="",R34="",X34="",Z34="",AB34="",AF34="",AH34="",AD34=""),"",
IF(AND(BM34="SBDI",ISNUMBER(SEARCH("Linear",C34))),ROUND(MIN(AT34,INDEX(PMELIGHTLIN[Inc Rate SBDI],MATCH(AZ34,PMELIGHTLIN[Measure Validator],0))*(AX34-AY34),SBDICAP-BN32),2),
IF(AND(BM34="SBDI",ISNUMBER(SEARCH("Exit",C34))),ROUND(MIN(AT34,INDEX(PMELIGHTINCAN[Inc Rate SBDI],MATCH(AZ34,PMELIGHTINCAN[Measure Validator],0))*Z34,SBDICAP-BN32),2),
IF(AND(BM34="SBDI",OR(ISNUMBER(SEARCH("Sodium",C34)),ISNUMBER(SEARCH("Vapor",C34)),ISNUMBER(SEARCH("Halide",C34)),ISNUMBER(SEARCH("Linear",C34)))),ROUND(MIN(AT34,INDEX(PMELIGHTHID[Inc Rate SBDI],MATCH(AZ34,PMELIGHTHID[Measure Validator],0))*(AX34-AY34),SBDICAP-BN32),2),
IF(AND(BM34="Standard",ISNUMBER(SEARCH("Linear",C34))),ROUND(MIN(AT34,INDEX(PMELIGHTLIN[Inc Rate Unit PA],MATCH(AZ34,PMELIGHTLIN[Measure Validator],0))*(AX34-AY34)),2),
IF(AND(BM34="Standard",ISNUMBER(SEARCH("Exit",C34))),ROUND(MIN(AT34,INDEX(PMELIGHTINCAN[Inc Rate Unit],MATCH(AZ34,PMELIGHTINCAN[Measure Validator],0))*Z34),2),
IF(AND(BM34="Standard",OR(ISNUMBER(SEARCH("Sodium",C34)),ISNUMBER(SEARCH("Vapor",C34)),ISNUMBER(SEARCH("Halide",C34)),ISNUMBER(SEARCH("Linear",C34)))),ROUND(MIN(AT34,INDEX(PMELIGHTHID[Inc Rate Unit],MATCH(AZ34,PMELIGHTHID[Measure Validator],0))*(AX34-AY34)),2))))))))</f>
        <v/>
      </c>
      <c r="BR34" s="656">
        <f>IF(AND(BM34="SBDI",BN34&gt;=SBDICAP),
IF(ISNUMBER(SEARCH("Linear",C34)),ROUNDUP((((INDEX(PMELIGHTLIN[Inc Rate SBDI],MATCH(AZ34,PMELIGHTLIN[Measure Validator],0))*(AX34-AY34)-BQ34))/BB34),0),
IF(ISNUMBER(SEARCH("Exit",C34)),ROUNDUP((((INDEX(PMELIGHTINCAN[Inc Rate SBDI],MATCH(AZ34,PMELIGHTLIN[Measure Validator],0))*(Z34)-BQ34))/BB34),0),
ROUNDUP((((INDEX(PMELIGHTHID[Inc Rate SBDI],MATCH(AZ34,PMELIGHTHID[Measure Validator],0))*(AX34-AY34)-BQ34))/BB34),0))),0)</f>
        <v>0</v>
      </c>
      <c r="BS34" s="650">
        <f>IFERROR(IF(ISNUMBER(SEARCH("Linear",C34)),
IF(MIN(INDEX(PMELIGHTLIN[Inc Rate Unit PA],MATCH(AZ34,PMELIGHTLIN[Measure Validator],0))*BR34,AT34-BT34)&lt;0,0,MIN(INDEX(PMELIGHTLIN[Inc Rate Unit PA],MATCH(AZ34,PMELIGHTLIN[Measure Validator],0))*BR34,AT34-BT34)),
IF(ISNUMBER(SEARCH("Exit",C34)),
IF(MIN(INDEX(PMELIGHTINCAN[Inc Rate Unit],MATCH(AZ34,PMELIGHTINCAN[Measure Validator],0))*BR34,AT34-BT34)&lt;0,0,MIN(INDEX(PMELIGHTINCAN[Inc Rate Unit],MATCH(AZ34,PMELIGHTINCAN[Measure Validator],0))*BR34,AT34-BT34)),
IF(MIN(INDEX(PMELIGHTHID[Inc Rate Unit],MATCH(AZ34,PMELIGHTHID[Measure Validator],0))*BR34,AT34-BT34)&lt;0,0,MIN(INDEX(PMELIGHTHID[Inc Rate Unit],MATCH(AZ34,PMELIGHTHID[Measure Validator],0))*BR34,AT34-BT34)))),0)</f>
        <v>0</v>
      </c>
      <c r="BT34" s="650" t="str">
        <f>IF(BR34=0,BQ34,
IF(ISNUMBER(SEARCH("Exit",C34)),Z34-BR34*BB34,((AX34-AY34)-BR34)*BB34))</f>
        <v/>
      </c>
      <c r="BU34" s="650">
        <f>ROUND(SUMIF($BM$32:BM32,"=SBDI",$BT$32:BT33),2)+IF(BM34="SBDI",BT34,0)</f>
        <v>0</v>
      </c>
      <c r="BV34" s="650" t="str">
        <f>IF(AND(BM34="SBDI",BR34&lt;&gt;0),BS34+BT34,
IF(AND(BM34="SBDI",BR34=0),BQ34,BP34))</f>
        <v/>
      </c>
    </row>
    <row r="35" spans="2:74" ht="15.95" customHeight="1" x14ac:dyDescent="0.25">
      <c r="B35" s="698"/>
      <c r="C35" s="706"/>
      <c r="D35" s="707"/>
      <c r="E35" s="708"/>
      <c r="F35" s="710"/>
      <c r="G35" s="707"/>
      <c r="H35" s="707"/>
      <c r="I35" s="707"/>
      <c r="J35" s="700"/>
      <c r="K35" s="693"/>
      <c r="L35" s="692"/>
      <c r="M35" s="700"/>
      <c r="N35" s="706"/>
      <c r="O35" s="707"/>
      <c r="P35" s="707"/>
      <c r="Q35" s="708"/>
      <c r="R35" s="710"/>
      <c r="S35" s="707"/>
      <c r="T35" s="707"/>
      <c r="U35" s="708"/>
      <c r="V35" s="692"/>
      <c r="W35" s="693"/>
      <c r="X35" s="692"/>
      <c r="Y35" s="693"/>
      <c r="Z35" s="692"/>
      <c r="AA35" s="693"/>
      <c r="AB35" s="692"/>
      <c r="AC35" s="693"/>
      <c r="AD35" s="692"/>
      <c r="AE35" s="693"/>
      <c r="AF35" s="663"/>
      <c r="AG35" s="682"/>
      <c r="AH35" s="663"/>
      <c r="AI35" s="664"/>
      <c r="AJ35" s="668"/>
      <c r="AK35" s="669"/>
      <c r="AL35" s="669"/>
      <c r="AM35" s="670"/>
      <c r="AN35" s="674"/>
      <c r="AO35" s="675"/>
      <c r="AP35" s="675"/>
      <c r="AQ35" s="676"/>
      <c r="AR35" s="448"/>
      <c r="AT35" s="686"/>
      <c r="AU35" s="685"/>
      <c r="AV35" s="660"/>
      <c r="AW35" s="660"/>
      <c r="AX35" s="688"/>
      <c r="AY35" s="689"/>
      <c r="AZ35" s="689"/>
      <c r="BA35" s="689"/>
      <c r="BB35" s="689"/>
      <c r="BC35" s="689"/>
      <c r="BD35" s="689"/>
      <c r="BE35" s="685"/>
      <c r="BF35" s="683"/>
      <c r="BG35" s="654"/>
      <c r="BH35" s="654"/>
      <c r="BI35" s="685"/>
      <c r="BJ35" s="654"/>
      <c r="BM35" s="651"/>
      <c r="BN35" s="650"/>
      <c r="BO35" s="650"/>
      <c r="BP35" s="650"/>
      <c r="BQ35" s="650"/>
      <c r="BR35" s="657"/>
      <c r="BS35" s="651"/>
      <c r="BT35" s="651"/>
      <c r="BU35" s="651"/>
      <c r="BV35" s="651"/>
    </row>
    <row r="36" spans="2:74" ht="15.95" customHeight="1" x14ac:dyDescent="0.25">
      <c r="B36" s="698">
        <v>3</v>
      </c>
      <c r="C36" s="703"/>
      <c r="D36" s="704"/>
      <c r="E36" s="705"/>
      <c r="F36" s="709"/>
      <c r="G36" s="704"/>
      <c r="H36" s="704"/>
      <c r="I36" s="704"/>
      <c r="J36" s="699" t="str">
        <f>IF(OR(C36="Halogen",C36="Incandescent",C36="Exit Sign",F36=""),"",INDEX(CMLIGHTBASE[Base Watt 1],MATCH(F36,CMLIGHTBASE[Base Desc 1],0)))</f>
        <v/>
      </c>
      <c r="K36" s="691"/>
      <c r="L36" s="690"/>
      <c r="M36" s="699"/>
      <c r="N36" s="703"/>
      <c r="O36" s="704"/>
      <c r="P36" s="704"/>
      <c r="Q36" s="705"/>
      <c r="R36" s="709"/>
      <c r="S36" s="704"/>
      <c r="T36" s="704"/>
      <c r="U36" s="705"/>
      <c r="V36" s="690" t="str">
        <f t="shared" ref="V36" si="11">IF(N36="","",IF(ISNUMBER(SEARCH("Type",N36)),"","N/A"))</f>
        <v/>
      </c>
      <c r="W36" s="691"/>
      <c r="X36" s="690"/>
      <c r="Y36" s="691"/>
      <c r="Z36" s="690"/>
      <c r="AA36" s="691"/>
      <c r="AB36" s="690" t="str">
        <f t="shared" ref="AB36" si="12">IF(C36="Exit Sign", 8760,"")</f>
        <v/>
      </c>
      <c r="AC36" s="691"/>
      <c r="AD36" s="690"/>
      <c r="AE36" s="691"/>
      <c r="AF36" s="661"/>
      <c r="AG36" s="681"/>
      <c r="AH36" s="661"/>
      <c r="AI36" s="662"/>
      <c r="AJ36" s="665" t="str">
        <f>IF(OR(C36="",F36="",J36="",L36="",N36="",R36="",X36="",Z36="",AB36="",AF36="",AH36="",AD36=""),"",IFERROR(ROUND(IF((AV36-AW36)&lt;=0,0,IF(M02S02F32&lt;&gt;"",INDEX(SPACEHEAT[HIF],MATCH(M02S02F32,SHEAT,0))*(AV36-AW36),(AV36-AW36))),0),""))</f>
        <v/>
      </c>
      <c r="AK36" s="666"/>
      <c r="AL36" s="666"/>
      <c r="AM36" s="667"/>
      <c r="AN36" s="671" t="str">
        <f t="shared" ref="AN36" si="13">BH36</f>
        <v/>
      </c>
      <c r="AO36" s="672"/>
      <c r="AP36" s="672"/>
      <c r="AQ36" s="673"/>
      <c r="AR36" s="448"/>
      <c r="AT36" s="686" t="str">
        <f t="shared" ref="AT36" si="14">IF(OR(C36="",F36="",J36="",L36="",N36="",R36="",X36="",Z36="",AB36="",AF36="",AH36="",AD36=""),"",(ROUND((AF36+AH36)*Z36,2)))</f>
        <v/>
      </c>
      <c r="AU36" s="685" t="str">
        <f>IF(OR(C36="",F36="",J36="",L36="",N36="",R36="",X36="",Z36="",AB36="",AF36="",AH36="",AD36=""),"",ROUND(AJ36*INDEX(ENDUSEALL[Factor],MATCH("Lighting",ENDUSEALL[End Use to Coincident Peak Demand Factors],0)),4))</f>
        <v/>
      </c>
      <c r="AV36" s="660" t="str">
        <f t="shared" ref="AV36" si="15">IF(OR(C36="",F36="",J36="",L36="",N36="",R36="",X36="",Z36="",AB36="",AF36="",AH36="",AD36=""),"",IF(C36="Incandescent",ROUND(0.24*J36*L36*AB36/1000,0),
IF(C36="Halogen",ROUND(0.34*J36*L36*AB36/1000,0),ROUND(L36*AB36*J36/1000,0))))</f>
        <v/>
      </c>
      <c r="AW36" s="660" t="str">
        <f t="shared" ref="AW36" si="16">IF(OR(C36="",F36="",J36="",L36="",N36="",R36="",X36="",Z36="",AB36="",AF36="",AH36="",AD36=""),"",IF(ISNUMBER(SEARCH("Network",N36)),ROUND(0.76*AB36*Z36*X36/1000,0),ROUND(X36*AB36*Z36/1000,0)))</f>
        <v/>
      </c>
      <c r="AX36" s="687" t="str">
        <f>IF(OR(C36="",F36="",J36="",L36="",N36="",R36="",X36="",Z36="",AB36="",AF36="",AH36="",AD36=""),"",
IF(AND(L36&gt;=Z36,ISNUMBER(SEARCH("Type",N36))),ROUND(Z36*LEFT(INDEX(CMLIGHTBASE[Measure Subgroup 2], MATCH(F36,CMLIGHTBASE[Base Desc 1],0)),2)*J36/LEFT(INDEX(CMLIGHTBASE[Measure Subgroup 2], MATCH(F36,CMLIGHTBASE[Base Desc 1],0)),2),0),
IF(AND(L36&lt;Z36,ISNUMBER(SEARCH("Type",N36))),ROUND(L36*LEFT(INDEX(CMLIGHTBASE[Measure Subgroup 2], MATCH(F36,CMLIGHTBASE[Base Desc 1],0)),2)*J36/LEFT(INDEX(CMLIGHTBASE[Measure Subgroup 2], MATCH(F36,CMLIGHTBASE[Base Desc 1],0)),2),0),
IF(AND(OR(ISNUMBER(SEARCH("Fixture",N36)),ISNUMBER(SEARCH("Kit",N36))),L36&gt;=Z36,ISNUMBER(SEARCH("Linear",C36))),Z36*J36,
IF(C36="Incandescent",0.24*J36*L36,IF(C36="Halogen",0.34*J36*L36,L36*J36))))))</f>
        <v/>
      </c>
      <c r="AY36" s="689" t="str">
        <f>IF(OR(C36="",F36="",J36="",L36="",N36="",R36="",X36="",Z36="",AB36="",AF36="",AH36="",AD36=""),"",IF(AND(L36&gt;=Z36,ISNUMBER(SEARCH("Type",N36))),ROUND(Z36*LEFT(INDEX(CMLIGHTBASE[Measure Subgroup 2], MATCH(F36,CMLIGHTBASE[Base Desc 1],0)),2)*X36/V36,0),IF(AND(L36&lt;Z36,ISNUMBER(SEARCH("Type",N36))),ROUND(L36*LEFT(INDEX(CMLIGHTBASE[Measure Subgroup 2], MATCH(F36,CMLIGHTBASE[Base Desc 1],0)),2)*X36/V36,0),IF(OR(ISNUMBER(SEARCH("Fixture",N36)),ISNUMBER(SEARCH("Kit",N36))),Z36*X36,Z36*X36))))</f>
        <v/>
      </c>
      <c r="AZ36" s="689" t="str">
        <f t="shared" ref="AZ36" si="17">IF(OR(C36="Incandescent",C36="Halogen",C36="Exit Sign"),CONCATENATE(C36,"-",F36),IF(C36="Pulse Start Metal Halide",CONCATENATE("Metal Halide-",N36),CONCATENATE(C36,"-",N36)))</f>
        <v>-</v>
      </c>
      <c r="BA36" s="689" t="str">
        <f>IF(OR(C36="",F36="",J36="",L36="",N36="",R36="",X36="",Z36="",AB36="",AF36="",AH36="",AD36=""),"",
IF(ISNUMBER(SEARCH("Linear",C36)),INDEX(PMELIGHTLIN[Measure '#],MATCH(AZ36,PMELIGHTLIN[Measure Validator],0)),
IF(OR(C36="Metal Halide",C36="Pulse Start Metal Halide",C36="HP Sodium",C36="Mercury Vapor"),INDEX(PMELIGHTHID[Measure '#],MATCH(AZ36,PMELIGHTHID[Measure Validator],0)),
IF(OR(C36="Incandescent",C36="Halogen",C36="Exit Sign"),INDEX(PMELIGHTINCAN[Measure '#],MATCH(AZ36,PMELIGHTINCAN[Measure Validator],0))))))</f>
        <v/>
      </c>
      <c r="BB36" s="689" t="str">
        <f ca="1">IFERROR(IF(OR(C36="",F36="",J36="",L36="",N36="",R36="",X36="",Z36="",AB36="",AF36="",AH36="",AD36=""),"",IF(AND(ISNUMBER(SEARCH("Linear",C36)),OR(ISNUMBER(SEARCH("Yes",M02S02F44)),M02S02F44="")),INDEX(PMELIGHTLIN[Inc Rate Unit FT],MATCH(AZ36,PMELIGHTLIN[Measure Validator],0)),IF(AND(ISNUMBER(SEARCH("Linear",C36)),OR(ISNUMBER(SEARCH("No",M02S02F44)))),INDEX(PMELIGHTLIN[Inc Rate Unit PA],MATCH(AZ36,PMELIGHTLIN[Measure Validator],0)),IF(OR(C36="Metal Halide",C36="Pulse Start Metal Halide",C36="HP Sodium",C36="Mercury Vapor"),INDEX(PMELIGHTHID[Inc Rate Unit],MATCH(AZ36,PMELIGHTHID[Measure Validator],0)),IF(OR(C36="Incandescent",C36="Halogen",C36="Exit Sign"),INDEX(PMELIGHTINCAN[Inc Rate Unit],MATCH(AZ36,PMELIGHTINCAN[Measure Validator],0)))))))*IF(AND(ISNUMBER(SEARCH("NO",M02S02F44)),M02S02F43&lt;=DATEVALUE("12/31/2021"),TODAY()&lt;=LIGHTING2021,OR(C36="Metal Halide",C36="Pulse Start Metal Halide",C36="HP Sodium",C36="Mercury Vapor",ISNUMBER(SEARCH("Linear",C36)))),LIGHTRATE21,1),"")</f>
        <v/>
      </c>
      <c r="BC36" s="689">
        <f>IFERROR(ROUND(IF(BA36="","",IF(OR(ISNUMBER(SEARCH("Yes",M02S02F44)),M02S02F44=""),IF(AND(L36&gt;=Z36,ISNUMBER(SEARCH("Type",N36))),BB36*(Z36*V36)*LEFT(INDEX(CMLIGHTBASE[Measure Subgroup 1], MATCH(F36,CMLIGHTBASE[Base Desc 1],0)),1),IF(AND(L36&lt;Z36,ISNUMBER(SEARCH("Type",N36))),BB36*(V36*L36)*LEFT(INDEX(CMLIGHTBASE[Measure Subgroup 1], MATCH(F36,CMLIGHTBASE[Base Desc 1],0)),1),0)),IF(ISNUMBER(SEARCH("Type",N36)),(AX36-AY36)*BB36,0))),2),0)</f>
        <v>0</v>
      </c>
      <c r="BD36" s="689" t="str">
        <f t="shared" ref="BD36" si="18">IFERROR((IF(BA36="","",IF(ISNUMBER(SEARCH("Type",N36)),0,IF(OR(C36="Incandescent",C36="Halogen",C36="Exit Sign"),Z36*BB36,IF(L36&gt;=Z36,((Z36*J36)-(Z36*X36)),((L36*J36)-(Z36*X36)))*BB36)))),0)</f>
        <v/>
      </c>
      <c r="BE36" s="685"/>
      <c r="BF36" s="683">
        <f t="shared" ref="BF36" si="19">IFERROR(ROUND(BH36*1.1,2),0)</f>
        <v>0</v>
      </c>
      <c r="BG36" s="654" t="str">
        <f>IF(OR(C36="",F36="",J36="",L36="",N36="",R36="",X36="",Z36="",AB36="",AF36="",AH36="",AD36=""),"",IF(BI36&lt;&gt;"",BI36,ROUND(BF36*BONUSADJ,2)))</f>
        <v/>
      </c>
      <c r="BH36" s="654" t="str">
        <f t="shared" si="3"/>
        <v/>
      </c>
      <c r="BI36" s="684" t="str">
        <f t="shared" ref="BI36" si="20">IF(OR(C36="",F36="",J36="",L36="",N36="",R36="",X36="",Z36="",AB36="",AF36="",AH36="",AD36=""),"",IFERROR(IF(Z36&lt;&gt;L36,"One-for-One Replacement Only",IF(((J36*L36)-(X36*Z36))&lt;=0,"No Savings",IF((AX36-AY36)&lt;=0,"No Incentive",IF(AND(ISNUMBER(SEARCH("Linear",C36)),AD36&lt;50000),"Lamp Life Too Short","")))),"Submit for Review"))</f>
        <v/>
      </c>
      <c r="BJ36" s="654" t="str">
        <f t="shared" ref="BJ36" si="21">IF(OR(C36="",F36="",J36="",L36="",N36="",R36="",X36="",Z36="",AB36="",AF36="",AH36="",AD36=""),"",IF(BI36&lt;&gt;"",BI36,MIN(IF(ISNUMBER(SEARCH("Type",N36)),BC36,BD36),AT36)))</f>
        <v/>
      </c>
      <c r="BM36" s="650" t="str">
        <f>IF(OR(C36="",F36="",J36="",L36="",N36="",R36="",X36="",Z36="",AB36="",AF36="",AH36="",AD36=""),"",IFERROR(IF(BN34&lt;SBDICAP,"SBDI","Standard"),""))</f>
        <v/>
      </c>
      <c r="BN36" s="655">
        <f>SUMIF($BM$32:BM35,"=SBDI",$BQ$32:BQ35)+IF(BM36="SBDI",BQ36,0)</f>
        <v>0</v>
      </c>
      <c r="BO36" s="655">
        <f t="shared" ref="BO36" ca="1" si="22">IFERROR(IF(AND(BM36="SBDI",BB36*(AX36-AY36)&gt;BT36),(BB36*(AX36-AY36))-BT36,IF(AND(BM36="Standard",BB36*(AX36-AY36)&gt;BP36),(BB36*(AX36-AY36))-BP36,0)),0)</f>
        <v>0</v>
      </c>
      <c r="BP36" s="655" t="str">
        <f>IF(OR(C36="",F36="",J36="",L36="",N36="",R36="",X36="",Z36="",AB36="",AF36="",AH36="",AD36=""),"",ROUND(MIN(AT36,IF(ISNUMBER(SEARCH("Linear",C36)),INDEX(PMELIGHTLIN[Inc Rate Unit PA],MATCH(AZ36,PMELIGHTLIN[Measure Validator],0))*(AX36-AY36),IF(ISNUMBER(SEARCH("Exit",C36)),INDEX(PMELIGHTINCAN[Inc Rate Unit],MATCH(AZ36,PMELIGHTINCAN[Measure Validator],0))*Z36,INDEX(PMELIGHTHID[Inc Rate Unit],MATCH(AZ36,PMELIGHTHID[Measure Validator],0))*(AX36-AY36)))),2))</f>
        <v/>
      </c>
      <c r="BQ36" s="655" t="str">
        <f>IF(OR(C36="",F36="",J36="",L36="",N36="",R36="",X36="",Z36="",AB36="",AF36="",AH36="",AD36=""),"",
IF(AND(BM36="SBDI",ISNUMBER(SEARCH("Linear",C36))),ROUND(MIN(AT36,INDEX(PMELIGHTLIN[Inc Rate SBDI],MATCH(AZ36,PMELIGHTLIN[Measure Validator],0))*(AX36-AY36),SBDICAP-BN34),2),
IF(AND(BM36="SBDI",ISNUMBER(SEARCH("Exit",C36))),ROUND(MIN(AT36,INDEX(PMELIGHTINCAN[Inc Rate SBDI],MATCH(AZ36,PMELIGHTINCAN[Measure Validator],0))*Z36,SBDICAP-BN34),2),
IF(AND(BM36="SBDI",OR(ISNUMBER(SEARCH("Sodium",C36)),ISNUMBER(SEARCH("Vapor",C36)),ISNUMBER(SEARCH("Halide",C36)),ISNUMBER(SEARCH("Linear",C36)))),ROUND(MIN(AT36,INDEX(PMELIGHTHID[Inc Rate SBDI],MATCH(AZ36,PMELIGHTHID[Measure Validator],0))*(AX36-AY36),SBDICAP-BN34),2),
IF(AND(BM36="Standard",ISNUMBER(SEARCH("Linear",C36))),ROUND(MIN(AT36,INDEX(PMELIGHTLIN[Inc Rate Unit PA],MATCH(AZ36,PMELIGHTLIN[Measure Validator],0))*(AX36-AY36)),2),
IF(AND(BM36="Standard",ISNUMBER(SEARCH("Exit",C36))),ROUND(MIN(AT36,INDEX(PMELIGHTINCAN[Inc Rate Unit],MATCH(AZ36,PMELIGHTINCAN[Measure Validator],0))*Z36),2),
IF(AND(BM36="Standard",OR(ISNUMBER(SEARCH("Sodium",C36)),ISNUMBER(SEARCH("Vapor",C36)),ISNUMBER(SEARCH("Halide",C36)),ISNUMBER(SEARCH("Linear",C36)))),ROUND(MIN(AT36,INDEX(PMELIGHTHID[Inc Rate Unit],MATCH(AZ36,PMELIGHTHID[Measure Validator],0))*(AX36-AY36)),2))))))))</f>
        <v/>
      </c>
      <c r="BR36" s="656">
        <f>IF(AND(BM36="SBDI",BN36&gt;=SBDICAP),
IF(ISNUMBER(SEARCH("Linear",C36)),ROUNDUP((((INDEX(PMELIGHTLIN[Inc Rate SBDI],MATCH(AZ36,PMELIGHTLIN[Measure Validator],0))*(AX36-AY36)-BQ36))/BB36),0),
IF(ISNUMBER(SEARCH("Exit",C36)),ROUNDUP((((INDEX(PMELIGHTINCAN[Inc Rate SBDI],MATCH(AZ36,PMELIGHTLIN[Measure Validator],0))*(Z36)-BQ36))/BB36),0),
ROUNDUP((((INDEX(PMELIGHTHID[Inc Rate SBDI],MATCH(AZ36,PMELIGHTHID[Measure Validator],0))*(AX36-AY36)-BQ36))/BB36),0))),0)</f>
        <v>0</v>
      </c>
      <c r="BS36" s="650">
        <f>IFERROR(IF(ISNUMBER(SEARCH("Linear",C36)),
IF(MIN(INDEX(PMELIGHTLIN[Inc Rate Unit PA],MATCH(AZ36,PMELIGHTLIN[Measure Validator],0))*BR36,AT36-BT36)&lt;0,0,MIN(INDEX(PMELIGHTLIN[Inc Rate Unit PA],MATCH(AZ36,PMELIGHTLIN[Measure Validator],0))*BR36,AT36-BT36)),
IF(ISNUMBER(SEARCH("Exit",C36)),
IF(MIN(INDEX(PMELIGHTINCAN[Inc Rate Unit],MATCH(AZ36,PMELIGHTINCAN[Measure Validator],0))*BR36,AT36-BT36)&lt;0,0,MIN(INDEX(PMELIGHTINCAN[Inc Rate Unit],MATCH(AZ36,PMELIGHTINCAN[Measure Validator],0))*BR36,AT36-BT36)),
IF(MIN(INDEX(PMELIGHTHID[Inc Rate Unit],MATCH(AZ36,PMELIGHTHID[Measure Validator],0))*BR36,AT36-BT36)&lt;0,0,MIN(INDEX(PMELIGHTHID[Inc Rate Unit],MATCH(AZ36,PMELIGHTHID[Measure Validator],0))*BR36,AT36-BT36)))),0)</f>
        <v>0</v>
      </c>
      <c r="BT36" s="650" t="str">
        <f t="shared" ref="BT36" si="23">IF(BR36=0,BQ36,
IF(ISNUMBER(SEARCH("Exit",C36)),Z36-BR36*BB36,((AX36-AY36)-BR36)*BB36))</f>
        <v/>
      </c>
      <c r="BU36" s="650">
        <f>ROUND(SUMIF($BM$32:BM34,"=SBDI",$BT$32:BT35),2)+IF(BM36="SBDI",BT36,0)</f>
        <v>0</v>
      </c>
      <c r="BV36" s="650" t="str">
        <f t="shared" ref="BV36" si="24">IF(AND(BM36="SBDI",BR36&lt;&gt;0),BS36+BT36,
IF(AND(BM36="SBDI",BR36=0),BQ36,BP36))</f>
        <v/>
      </c>
    </row>
    <row r="37" spans="2:74" ht="15.95" customHeight="1" x14ac:dyDescent="0.25">
      <c r="B37" s="698"/>
      <c r="C37" s="706"/>
      <c r="D37" s="707"/>
      <c r="E37" s="708"/>
      <c r="F37" s="710"/>
      <c r="G37" s="707"/>
      <c r="H37" s="707"/>
      <c r="I37" s="707"/>
      <c r="J37" s="700"/>
      <c r="K37" s="693"/>
      <c r="L37" s="692"/>
      <c r="M37" s="700"/>
      <c r="N37" s="706"/>
      <c r="O37" s="707"/>
      <c r="P37" s="707"/>
      <c r="Q37" s="708"/>
      <c r="R37" s="710"/>
      <c r="S37" s="707"/>
      <c r="T37" s="707"/>
      <c r="U37" s="708"/>
      <c r="V37" s="692"/>
      <c r="W37" s="693"/>
      <c r="X37" s="692"/>
      <c r="Y37" s="693"/>
      <c r="Z37" s="692"/>
      <c r="AA37" s="693"/>
      <c r="AB37" s="692"/>
      <c r="AC37" s="693"/>
      <c r="AD37" s="692"/>
      <c r="AE37" s="693"/>
      <c r="AF37" s="663"/>
      <c r="AG37" s="682"/>
      <c r="AH37" s="663"/>
      <c r="AI37" s="664"/>
      <c r="AJ37" s="668"/>
      <c r="AK37" s="669"/>
      <c r="AL37" s="669"/>
      <c r="AM37" s="670"/>
      <c r="AN37" s="674"/>
      <c r="AO37" s="675"/>
      <c r="AP37" s="675"/>
      <c r="AQ37" s="676"/>
      <c r="AR37" s="448"/>
      <c r="AT37" s="686"/>
      <c r="AU37" s="685"/>
      <c r="AV37" s="660"/>
      <c r="AW37" s="660"/>
      <c r="AX37" s="688"/>
      <c r="AY37" s="689"/>
      <c r="AZ37" s="689"/>
      <c r="BA37" s="689"/>
      <c r="BB37" s="689"/>
      <c r="BC37" s="689"/>
      <c r="BD37" s="689"/>
      <c r="BE37" s="685"/>
      <c r="BF37" s="683"/>
      <c r="BG37" s="654"/>
      <c r="BH37" s="654"/>
      <c r="BI37" s="685"/>
      <c r="BJ37" s="654"/>
      <c r="BM37" s="651"/>
      <c r="BN37" s="650"/>
      <c r="BO37" s="650"/>
      <c r="BP37" s="650"/>
      <c r="BQ37" s="650"/>
      <c r="BR37" s="657"/>
      <c r="BS37" s="651"/>
      <c r="BT37" s="651"/>
      <c r="BU37" s="651"/>
      <c r="BV37" s="651"/>
    </row>
    <row r="38" spans="2:74" ht="15.95" customHeight="1" x14ac:dyDescent="0.25">
      <c r="B38" s="698">
        <v>4</v>
      </c>
      <c r="C38" s="703"/>
      <c r="D38" s="704"/>
      <c r="E38" s="705"/>
      <c r="F38" s="709"/>
      <c r="G38" s="704"/>
      <c r="H38" s="704"/>
      <c r="I38" s="704"/>
      <c r="J38" s="699" t="str">
        <f>IF(OR(C38="Halogen",C38="Incandescent",C38="Exit Sign",F38=""),"",INDEX(CMLIGHTBASE[Base Watt 1],MATCH(F38,CMLIGHTBASE[Base Desc 1],0)))</f>
        <v/>
      </c>
      <c r="K38" s="691"/>
      <c r="L38" s="690"/>
      <c r="M38" s="699"/>
      <c r="N38" s="703"/>
      <c r="O38" s="704"/>
      <c r="P38" s="704"/>
      <c r="Q38" s="705"/>
      <c r="R38" s="709"/>
      <c r="S38" s="704"/>
      <c r="T38" s="704"/>
      <c r="U38" s="705"/>
      <c r="V38" s="690" t="str">
        <f t="shared" ref="V38" si="25">IF(N38="","",IF(ISNUMBER(SEARCH("Type",N38)),"","N/A"))</f>
        <v/>
      </c>
      <c r="W38" s="691"/>
      <c r="X38" s="690"/>
      <c r="Y38" s="691"/>
      <c r="Z38" s="690"/>
      <c r="AA38" s="691"/>
      <c r="AB38" s="690" t="str">
        <f t="shared" ref="AB38" si="26">IF(C38="Exit Sign", 8760,"")</f>
        <v/>
      </c>
      <c r="AC38" s="691"/>
      <c r="AD38" s="690"/>
      <c r="AE38" s="691"/>
      <c r="AF38" s="661"/>
      <c r="AG38" s="681"/>
      <c r="AH38" s="661"/>
      <c r="AI38" s="662"/>
      <c r="AJ38" s="665" t="str">
        <f>IF(OR(C38="",F38="",J38="",L38="",N38="",R38="",X38="",Z38="",AB38="",AF38="",AH38="",AD38=""),"",IFERROR(ROUND(IF((AV38-AW38)&lt;=0,0,IF(M02S02F32&lt;&gt;"",INDEX(SPACEHEAT[HIF],MATCH(M02S02F32,SHEAT,0))*(AV38-AW38),(AV38-AW38))),0),""))</f>
        <v/>
      </c>
      <c r="AK38" s="666"/>
      <c r="AL38" s="666"/>
      <c r="AM38" s="667"/>
      <c r="AN38" s="671" t="str">
        <f t="shared" ref="AN38" si="27">BH38</f>
        <v/>
      </c>
      <c r="AO38" s="672"/>
      <c r="AP38" s="672"/>
      <c r="AQ38" s="673"/>
      <c r="AR38" s="448"/>
      <c r="AT38" s="686" t="str">
        <f t="shared" ref="AT38" si="28">IF(OR(C38="",F38="",J38="",L38="",N38="",R38="",X38="",Z38="",AB38="",AF38="",AH38="",AD38=""),"",(ROUND((AF38+AH38)*Z38,2)))</f>
        <v/>
      </c>
      <c r="AU38" s="685" t="str">
        <f>IF(OR(C38="",F38="",J38="",L38="",N38="",R38="",X38="",Z38="",AB38="",AF38="",AH38="",AD38=""),"",ROUND(AJ38*INDEX(ENDUSEALL[Factor],MATCH("Lighting",ENDUSEALL[End Use to Coincident Peak Demand Factors],0)),4))</f>
        <v/>
      </c>
      <c r="AV38" s="660" t="str">
        <f t="shared" ref="AV38" si="29">IF(OR(C38="",F38="",J38="",L38="",N38="",R38="",X38="",Z38="",AB38="",AF38="",AH38="",AD38=""),"",IF(C38="Incandescent",ROUND(0.24*J38*L38*AB38/1000,0),
IF(C38="Halogen",ROUND(0.34*J38*L38*AB38/1000,0),ROUND(L38*AB38*J38/1000,0))))</f>
        <v/>
      </c>
      <c r="AW38" s="660" t="str">
        <f t="shared" ref="AW38" si="30">IF(OR(C38="",F38="",J38="",L38="",N38="",R38="",X38="",Z38="",AB38="",AF38="",AH38="",AD38=""),"",IF(ISNUMBER(SEARCH("Network",N38)),ROUND(0.76*AB38*Z38*X38/1000,0),ROUND(X38*AB38*Z38/1000,0)))</f>
        <v/>
      </c>
      <c r="AX38" s="687" t="str">
        <f>IF(OR(C38="",F38="",J38="",L38="",N38="",R38="",X38="",Z38="",AB38="",AF38="",AH38="",AD38=""),"",
IF(AND(L38&gt;=Z38,ISNUMBER(SEARCH("Type",N38))),ROUND(Z38*LEFT(INDEX(CMLIGHTBASE[Measure Subgroup 2], MATCH(F38,CMLIGHTBASE[Base Desc 1],0)),2)*J38/LEFT(INDEX(CMLIGHTBASE[Measure Subgroup 2], MATCH(F38,CMLIGHTBASE[Base Desc 1],0)),2),0),
IF(AND(L38&lt;Z38,ISNUMBER(SEARCH("Type",N38))),ROUND(L38*LEFT(INDEX(CMLIGHTBASE[Measure Subgroup 2], MATCH(F38,CMLIGHTBASE[Base Desc 1],0)),2)*J38/LEFT(INDEX(CMLIGHTBASE[Measure Subgroup 2], MATCH(F38,CMLIGHTBASE[Base Desc 1],0)),2),0),
IF(AND(OR(ISNUMBER(SEARCH("Fixture",N38)),ISNUMBER(SEARCH("Kit",N38))),L38&gt;=Z38,ISNUMBER(SEARCH("Linear",C38))),Z38*J38,
IF(C38="Incandescent",0.24*J38*L38,IF(C38="Halogen",0.34*J38*L38,L38*J38))))))</f>
        <v/>
      </c>
      <c r="AY38" s="689" t="str">
        <f>IF(OR(C38="",F38="",J38="",L38="",N38="",R38="",X38="",Z38="",AB38="",AF38="",AH38="",AD38=""),"",IF(AND(L38&gt;=Z38,ISNUMBER(SEARCH("Type",N38))),ROUND(Z38*LEFT(INDEX(CMLIGHTBASE[Measure Subgroup 2], MATCH(F38,CMLIGHTBASE[Base Desc 1],0)),2)*X38/V38,0),IF(AND(L38&lt;Z38,ISNUMBER(SEARCH("Type",N38))),ROUND(L38*LEFT(INDEX(CMLIGHTBASE[Measure Subgroup 2], MATCH(F38,CMLIGHTBASE[Base Desc 1],0)),2)*X38/V38,0),IF(OR(ISNUMBER(SEARCH("Fixture",N38)),ISNUMBER(SEARCH("Kit",N38))),Z38*X38,Z38*X38))))</f>
        <v/>
      </c>
      <c r="AZ38" s="689" t="str">
        <f t="shared" ref="AZ38" si="31">IF(OR(C38="Incandescent",C38="Halogen",C38="Exit Sign"),CONCATENATE(C38,"-",F38),IF(C38="Pulse Start Metal Halide",CONCATENATE("Metal Halide-",N38),CONCATENATE(C38,"-",N38)))</f>
        <v>-</v>
      </c>
      <c r="BA38" s="689" t="str">
        <f>IF(OR(C38="",F38="",J38="",L38="",N38="",R38="",X38="",Z38="",AB38="",AF38="",AH38="",AD38=""),"",
IF(ISNUMBER(SEARCH("Linear",C38)),INDEX(PMELIGHTLIN[Measure '#],MATCH(AZ38,PMELIGHTLIN[Measure Validator],0)),
IF(OR(C38="Metal Halide",C38="Pulse Start Metal Halide",C38="HP Sodium",C38="Mercury Vapor"),INDEX(PMELIGHTHID[Measure '#],MATCH(AZ38,PMELIGHTHID[Measure Validator],0)),
IF(OR(C38="Incandescent",C38="Halogen",C38="Exit Sign"),INDEX(PMELIGHTINCAN[Measure '#],MATCH(AZ38,PMELIGHTINCAN[Measure Validator],0))))))</f>
        <v/>
      </c>
      <c r="BB38" s="689" t="str">
        <f ca="1">IFERROR(IF(OR(C38="",F38="",J38="",L38="",N38="",R38="",X38="",Z38="",AB38="",AF38="",AH38="",AD38=""),"",IF(AND(ISNUMBER(SEARCH("Linear",C38)),OR(ISNUMBER(SEARCH("Yes",M02S02F44)),M02S02F44="")),INDEX(PMELIGHTLIN[Inc Rate Unit FT],MATCH(AZ38,PMELIGHTLIN[Measure Validator],0)),IF(AND(ISNUMBER(SEARCH("Linear",C38)),OR(ISNUMBER(SEARCH("No",M02S02F44)))),INDEX(PMELIGHTLIN[Inc Rate Unit PA],MATCH(AZ38,PMELIGHTLIN[Measure Validator],0)),IF(OR(C38="Metal Halide",C38="Pulse Start Metal Halide",C38="HP Sodium",C38="Mercury Vapor"),INDEX(PMELIGHTHID[Inc Rate Unit],MATCH(AZ38,PMELIGHTHID[Measure Validator],0)),IF(OR(C38="Incandescent",C38="Halogen",C38="Exit Sign"),INDEX(PMELIGHTINCAN[Inc Rate Unit],MATCH(AZ38,PMELIGHTINCAN[Measure Validator],0)))))))*IF(AND(ISNUMBER(SEARCH("NO",M02S02F44)),M02S02F43&lt;=DATEVALUE("12/31/2021"),TODAY()&lt;=LIGHTING2021,OR(C38="Metal Halide",C38="Pulse Start Metal Halide",C38="HP Sodium",C38="Mercury Vapor",ISNUMBER(SEARCH("Linear",C38)))),LIGHTRATE21,1),"")</f>
        <v/>
      </c>
      <c r="BC38" s="689">
        <f>IFERROR(ROUND(IF(BA38="","",IF(OR(ISNUMBER(SEARCH("Yes",M02S02F44)),M02S02F44=""),IF(AND(L38&gt;=Z38,ISNUMBER(SEARCH("Type",N38))),BB38*(Z38*V38)*LEFT(INDEX(CMLIGHTBASE[Measure Subgroup 1], MATCH(F38,CMLIGHTBASE[Base Desc 1],0)),1),IF(AND(L38&lt;Z38,ISNUMBER(SEARCH("Type",N38))),BB38*(V38*L38)*LEFT(INDEX(CMLIGHTBASE[Measure Subgroup 1], MATCH(F38,CMLIGHTBASE[Base Desc 1],0)),1),0)),IF(ISNUMBER(SEARCH("Type",N38)),(AX38-AY38)*BB38,0))),2),0)</f>
        <v>0</v>
      </c>
      <c r="BD38" s="689" t="str">
        <f t="shared" ref="BD38" si="32">IFERROR((IF(BA38="","",IF(ISNUMBER(SEARCH("Type",N38)),0,IF(OR(C38="Incandescent",C38="Halogen",C38="Exit Sign"),Z38*BB38,IF(L38&gt;=Z38,((Z38*J38)-(Z38*X38)),((L38*J38)-(Z38*X38)))*BB38)))),0)</f>
        <v/>
      </c>
      <c r="BE38" s="685"/>
      <c r="BF38" s="683">
        <f t="shared" ref="BF38" si="33">IFERROR(ROUND(BH38*1.1,2),0)</f>
        <v>0</v>
      </c>
      <c r="BG38" s="654" t="str">
        <f>IF(OR(C38="",F38="",J38="",L38="",N38="",R38="",X38="",Z38="",AB38="",AF38="",AH38="",AD38=""),"",IF(BI38&lt;&gt;"",BI38,ROUND(BF38*BONUSADJ,2)))</f>
        <v/>
      </c>
      <c r="BH38" s="654" t="str">
        <f t="shared" si="3"/>
        <v/>
      </c>
      <c r="BI38" s="684" t="str">
        <f t="shared" ref="BI38" si="34">IF(OR(C38="",F38="",J38="",L38="",N38="",R38="",X38="",Z38="",AB38="",AF38="",AH38="",AD38=""),"",IFERROR(IF(Z38&lt;&gt;L38,"One-for-One Replacement Only",IF(((J38*L38)-(X38*Z38))&lt;=0,"No Savings",IF((AX38-AY38)&lt;=0,"No Incentive",IF(AND(ISNUMBER(SEARCH("Linear",C38)),AD38&lt;50000),"Lamp Life Too Short","")))),"Submit for Review"))</f>
        <v/>
      </c>
      <c r="BJ38" s="654" t="str">
        <f t="shared" ref="BJ38" si="35">IF(OR(C38="",F38="",J38="",L38="",N38="",R38="",X38="",Z38="",AB38="",AF38="",AH38="",AD38=""),"",IF(BI38&lt;&gt;"",BI38,MIN(IF(ISNUMBER(SEARCH("Type",N38)),BC38,BD38),AT38)))</f>
        <v/>
      </c>
      <c r="BM38" s="650" t="str">
        <f>IF(OR(C38="",F38="",J38="",L38="",N38="",R38="",X38="",Z38="",AB38="",AF38="",AH38="",AD38=""),"",IFERROR(IF(BN36&lt;SBDICAP,"SBDI","Standard"),""))</f>
        <v/>
      </c>
      <c r="BN38" s="655">
        <f>SUMIF($BM$32:BM37,"=SBDI",$BQ$32:BQ37)+IF(BM38="SBDI",BQ38,0)</f>
        <v>0</v>
      </c>
      <c r="BO38" s="655">
        <f t="shared" ref="BO38" ca="1" si="36">IFERROR(IF(AND(BM38="SBDI",BB38*(AX38-AY38)&gt;BT38),(BB38*(AX38-AY38))-BT38,IF(AND(BM38="Standard",BB38*(AX38-AY38)&gt;BP38),(BB38*(AX38-AY38))-BP38,0)),0)</f>
        <v>0</v>
      </c>
      <c r="BP38" s="655" t="str">
        <f>IF(OR(C38="",F38="",J38="",L38="",N38="",R38="",X38="",Z38="",AB38="",AF38="",AH38="",AD38=""),"",ROUND(MIN(AT38,IF(ISNUMBER(SEARCH("Linear",C38)),INDEX(PMELIGHTLIN[Inc Rate Unit PA],MATCH(AZ38,PMELIGHTLIN[Measure Validator],0))*(AX38-AY38),IF(ISNUMBER(SEARCH("Exit",C38)),INDEX(PMELIGHTINCAN[Inc Rate Unit],MATCH(AZ38,PMELIGHTINCAN[Measure Validator],0))*Z38,INDEX(PMELIGHTHID[Inc Rate Unit],MATCH(AZ38,PMELIGHTHID[Measure Validator],0))*(AX38-AY38)))),2))</f>
        <v/>
      </c>
      <c r="BQ38" s="655" t="str">
        <f>IF(OR(C38="",F38="",J38="",L38="",N38="",R38="",X38="",Z38="",AB38="",AF38="",AH38="",AD38=""),"",
IF(AND(BM38="SBDI",ISNUMBER(SEARCH("Linear",C38))),ROUND(MIN(AT38,INDEX(PMELIGHTLIN[Inc Rate SBDI],MATCH(AZ38,PMELIGHTLIN[Measure Validator],0))*(AX38-AY38),SBDICAP-BN36),2),
IF(AND(BM38="SBDI",ISNUMBER(SEARCH("Exit",C38))),ROUND(MIN(AT38,INDEX(PMELIGHTINCAN[Inc Rate SBDI],MATCH(AZ38,PMELIGHTINCAN[Measure Validator],0))*Z38,SBDICAP-BN36),2),
IF(AND(BM38="SBDI",OR(ISNUMBER(SEARCH("Sodium",C38)),ISNUMBER(SEARCH("Vapor",C38)),ISNUMBER(SEARCH("Halide",C38)),ISNUMBER(SEARCH("Linear",C38)))),ROUND(MIN(AT38,INDEX(PMELIGHTHID[Inc Rate SBDI],MATCH(AZ38,PMELIGHTHID[Measure Validator],0))*(AX38-AY38),SBDICAP-BN36),2),
IF(AND(BM38="Standard",ISNUMBER(SEARCH("Linear",C38))),ROUND(MIN(AT38,INDEX(PMELIGHTLIN[Inc Rate Unit PA],MATCH(AZ38,PMELIGHTLIN[Measure Validator],0))*(AX38-AY38)),2),
IF(AND(BM38="Standard",ISNUMBER(SEARCH("Exit",C38))),ROUND(MIN(AT38,INDEX(PMELIGHTINCAN[Inc Rate Unit],MATCH(AZ38,PMELIGHTINCAN[Measure Validator],0))*Z38),2),
IF(AND(BM38="Standard",OR(ISNUMBER(SEARCH("Sodium",C38)),ISNUMBER(SEARCH("Vapor",C38)),ISNUMBER(SEARCH("Halide",C38)),ISNUMBER(SEARCH("Linear",C38)))),ROUND(MIN(AT38,INDEX(PMELIGHTHID[Inc Rate Unit],MATCH(AZ38,PMELIGHTHID[Measure Validator],0))*(AX38-AY38)),2))))))))</f>
        <v/>
      </c>
      <c r="BR38" s="656">
        <f>IF(AND(BM38="SBDI",BN38&gt;=SBDICAP),
IF(ISNUMBER(SEARCH("Linear",C38)),ROUNDUP((((INDEX(PMELIGHTLIN[Inc Rate SBDI],MATCH(AZ38,PMELIGHTLIN[Measure Validator],0))*(AX38-AY38)-BQ38))/BB38),0),
IF(ISNUMBER(SEARCH("Exit",C38)),ROUNDUP((((INDEX(PMELIGHTINCAN[Inc Rate SBDI],MATCH(AZ38,PMELIGHTLIN[Measure Validator],0))*(Z38)-BQ38))/BB38),0),
ROUNDUP((((INDEX(PMELIGHTHID[Inc Rate SBDI],MATCH(AZ38,PMELIGHTHID[Measure Validator],0))*(AX38-AY38)-BQ38))/BB38),0))),0)</f>
        <v>0</v>
      </c>
      <c r="BS38" s="650">
        <f>IFERROR(IF(ISNUMBER(SEARCH("Linear",C38)),
IF(MIN(INDEX(PMELIGHTLIN[Inc Rate Unit PA],MATCH(AZ38,PMELIGHTLIN[Measure Validator],0))*BR38,AT38-BT38)&lt;0,0,MIN(INDEX(PMELIGHTLIN[Inc Rate Unit PA],MATCH(AZ38,PMELIGHTLIN[Measure Validator],0))*BR38,AT38-BT38)),
IF(ISNUMBER(SEARCH("Exit",C38)),
IF(MIN(INDEX(PMELIGHTINCAN[Inc Rate Unit],MATCH(AZ38,PMELIGHTINCAN[Measure Validator],0))*BR38,AT38-BT38)&lt;0,0,MIN(INDEX(PMELIGHTINCAN[Inc Rate Unit],MATCH(AZ38,PMELIGHTINCAN[Measure Validator],0))*BR38,AT38-BT38)),
IF(MIN(INDEX(PMELIGHTHID[Inc Rate Unit],MATCH(AZ38,PMELIGHTHID[Measure Validator],0))*BR38,AT38-BT38)&lt;0,0,MIN(INDEX(PMELIGHTHID[Inc Rate Unit],MATCH(AZ38,PMELIGHTHID[Measure Validator],0))*BR38,AT38-BT38)))),0)</f>
        <v>0</v>
      </c>
      <c r="BT38" s="650" t="str">
        <f t="shared" ref="BT38" si="37">IF(BR38=0,BQ38,
IF(ISNUMBER(SEARCH("Exit",C38)),Z38-BR38*BB38,((AX38-AY38)-BR38)*BB38))</f>
        <v/>
      </c>
      <c r="BU38" s="650">
        <f>ROUND(SUMIF($BM$32:BM36,"=SBDI",$BT$32:BT37),2)+IF(BM38="SBDI",BT38,0)</f>
        <v>0</v>
      </c>
      <c r="BV38" s="650" t="str">
        <f t="shared" ref="BV38" si="38">IF(AND(BM38="SBDI",BR38&lt;&gt;0),BS38+BT38,
IF(AND(BM38="SBDI",BR38=0),BQ38,BP38))</f>
        <v/>
      </c>
    </row>
    <row r="39" spans="2:74" ht="15.95" customHeight="1" x14ac:dyDescent="0.25">
      <c r="B39" s="698"/>
      <c r="C39" s="706"/>
      <c r="D39" s="707"/>
      <c r="E39" s="708"/>
      <c r="F39" s="710"/>
      <c r="G39" s="707"/>
      <c r="H39" s="707"/>
      <c r="I39" s="707"/>
      <c r="J39" s="700"/>
      <c r="K39" s="693"/>
      <c r="L39" s="692"/>
      <c r="M39" s="700"/>
      <c r="N39" s="706"/>
      <c r="O39" s="707"/>
      <c r="P39" s="707"/>
      <c r="Q39" s="708"/>
      <c r="R39" s="710"/>
      <c r="S39" s="707"/>
      <c r="T39" s="707"/>
      <c r="U39" s="708"/>
      <c r="V39" s="692"/>
      <c r="W39" s="693"/>
      <c r="X39" s="692"/>
      <c r="Y39" s="693"/>
      <c r="Z39" s="692"/>
      <c r="AA39" s="693"/>
      <c r="AB39" s="692"/>
      <c r="AC39" s="693"/>
      <c r="AD39" s="692"/>
      <c r="AE39" s="693"/>
      <c r="AF39" s="663"/>
      <c r="AG39" s="682"/>
      <c r="AH39" s="663"/>
      <c r="AI39" s="664"/>
      <c r="AJ39" s="668"/>
      <c r="AK39" s="669"/>
      <c r="AL39" s="669"/>
      <c r="AM39" s="670"/>
      <c r="AN39" s="674"/>
      <c r="AO39" s="675"/>
      <c r="AP39" s="675"/>
      <c r="AQ39" s="676"/>
      <c r="AR39" s="448"/>
      <c r="AT39" s="686"/>
      <c r="AU39" s="685"/>
      <c r="AV39" s="660"/>
      <c r="AW39" s="660"/>
      <c r="AX39" s="688"/>
      <c r="AY39" s="689"/>
      <c r="AZ39" s="689"/>
      <c r="BA39" s="689"/>
      <c r="BB39" s="689"/>
      <c r="BC39" s="689"/>
      <c r="BD39" s="689"/>
      <c r="BE39" s="685"/>
      <c r="BF39" s="683"/>
      <c r="BG39" s="654"/>
      <c r="BH39" s="654"/>
      <c r="BI39" s="685"/>
      <c r="BJ39" s="654"/>
      <c r="BM39" s="651"/>
      <c r="BN39" s="650"/>
      <c r="BO39" s="650"/>
      <c r="BP39" s="650"/>
      <c r="BQ39" s="650"/>
      <c r="BR39" s="657"/>
      <c r="BS39" s="651"/>
      <c r="BT39" s="651"/>
      <c r="BU39" s="651"/>
      <c r="BV39" s="651"/>
    </row>
    <row r="40" spans="2:74" ht="15.95" customHeight="1" x14ac:dyDescent="0.25">
      <c r="B40" s="698">
        <v>5</v>
      </c>
      <c r="C40" s="703"/>
      <c r="D40" s="704"/>
      <c r="E40" s="705"/>
      <c r="F40" s="709"/>
      <c r="G40" s="704"/>
      <c r="H40" s="704"/>
      <c r="I40" s="704"/>
      <c r="J40" s="699" t="str">
        <f>IF(OR(C40="Halogen",C40="Incandescent",C40="Exit Sign",F40=""),"",INDEX(CMLIGHTBASE[Base Watt 1],MATCH(F40,CMLIGHTBASE[Base Desc 1],0)))</f>
        <v/>
      </c>
      <c r="K40" s="691"/>
      <c r="L40" s="690"/>
      <c r="M40" s="699"/>
      <c r="N40" s="703"/>
      <c r="O40" s="704"/>
      <c r="P40" s="704"/>
      <c r="Q40" s="705"/>
      <c r="R40" s="709"/>
      <c r="S40" s="704"/>
      <c r="T40" s="704"/>
      <c r="U40" s="705"/>
      <c r="V40" s="690" t="str">
        <f t="shared" ref="V40" si="39">IF(N40="","",IF(ISNUMBER(SEARCH("Type",N40)),"","N/A"))</f>
        <v/>
      </c>
      <c r="W40" s="691"/>
      <c r="X40" s="690"/>
      <c r="Y40" s="691"/>
      <c r="Z40" s="690"/>
      <c r="AA40" s="691"/>
      <c r="AB40" s="690" t="str">
        <f t="shared" ref="AB40" si="40">IF(C40="Exit Sign", 8760,"")</f>
        <v/>
      </c>
      <c r="AC40" s="691"/>
      <c r="AD40" s="690"/>
      <c r="AE40" s="691"/>
      <c r="AF40" s="661"/>
      <c r="AG40" s="681"/>
      <c r="AH40" s="661"/>
      <c r="AI40" s="662"/>
      <c r="AJ40" s="665" t="str">
        <f>IF(OR(C40="",F40="",J40="",L40="",N40="",R40="",X40="",Z40="",AB40="",AF40="",AH40="",AD40=""),"",IFERROR(ROUND(IF((AV40-AW40)&lt;=0,0,IF(M02S02F32&lt;&gt;"",INDEX(SPACEHEAT[HIF],MATCH(M02S02F32,SHEAT,0))*(AV40-AW40),(AV40-AW40))),0),""))</f>
        <v/>
      </c>
      <c r="AK40" s="666"/>
      <c r="AL40" s="666"/>
      <c r="AM40" s="667"/>
      <c r="AN40" s="671" t="str">
        <f t="shared" ref="AN40" si="41">BH40</f>
        <v/>
      </c>
      <c r="AO40" s="672"/>
      <c r="AP40" s="672"/>
      <c r="AQ40" s="673"/>
      <c r="AR40" s="448"/>
      <c r="AT40" s="686" t="str">
        <f t="shared" ref="AT40" si="42">IF(OR(C40="",F40="",J40="",L40="",N40="",R40="",X40="",Z40="",AB40="",AF40="",AH40="",AD40=""),"",(ROUND((AF40+AH40)*Z40,2)))</f>
        <v/>
      </c>
      <c r="AU40" s="685" t="str">
        <f>IF(OR(C40="",F40="",J40="",L40="",N40="",R40="",X40="",Z40="",AB40="",AF40="",AH40="",AD40=""),"",ROUND(AJ40*INDEX(ENDUSEALL[Factor],MATCH("Lighting",ENDUSEALL[End Use to Coincident Peak Demand Factors],0)),4))</f>
        <v/>
      </c>
      <c r="AV40" s="660" t="str">
        <f t="shared" ref="AV40" si="43">IF(OR(C40="",F40="",J40="",L40="",N40="",R40="",X40="",Z40="",AB40="",AF40="",AH40="",AD40=""),"",IF(C40="Incandescent",ROUND(0.24*J40*L40*AB40/1000,0),
IF(C40="Halogen",ROUND(0.34*J40*L40*AB40/1000,0),ROUND(L40*AB40*J40/1000,0))))</f>
        <v/>
      </c>
      <c r="AW40" s="660" t="str">
        <f t="shared" ref="AW40" si="44">IF(OR(C40="",F40="",J40="",L40="",N40="",R40="",X40="",Z40="",AB40="",AF40="",AH40="",AD40=""),"",IF(ISNUMBER(SEARCH("Network",N40)),ROUND(0.76*AB40*Z40*X40/1000,0),ROUND(X40*AB40*Z40/1000,0)))</f>
        <v/>
      </c>
      <c r="AX40" s="687" t="str">
        <f>IF(OR(C40="",F40="",J40="",L40="",N40="",R40="",X40="",Z40="",AB40="",AF40="",AH40="",AD40=""),"",
IF(AND(L40&gt;=Z40,ISNUMBER(SEARCH("Type",N40))),ROUND(Z40*LEFT(INDEX(CMLIGHTBASE[Measure Subgroup 2], MATCH(F40,CMLIGHTBASE[Base Desc 1],0)),2)*J40/LEFT(INDEX(CMLIGHTBASE[Measure Subgroup 2], MATCH(F40,CMLIGHTBASE[Base Desc 1],0)),2),0),
IF(AND(L40&lt;Z40,ISNUMBER(SEARCH("Type",N40))),ROUND(L40*LEFT(INDEX(CMLIGHTBASE[Measure Subgroup 2], MATCH(F40,CMLIGHTBASE[Base Desc 1],0)),2)*J40/LEFT(INDEX(CMLIGHTBASE[Measure Subgroup 2], MATCH(F40,CMLIGHTBASE[Base Desc 1],0)),2),0),
IF(AND(OR(ISNUMBER(SEARCH("Fixture",N40)),ISNUMBER(SEARCH("Kit",N40))),L40&gt;=Z40,ISNUMBER(SEARCH("Linear",C40))),Z40*J40,
IF(C40="Incandescent",0.24*J40*L40,IF(C40="Halogen",0.34*J40*L40,L40*J40))))))</f>
        <v/>
      </c>
      <c r="AY40" s="689" t="str">
        <f>IF(OR(C40="",F40="",J40="",L40="",N40="",R40="",X40="",Z40="",AB40="",AF40="",AH40="",AD40=""),"",IF(AND(L40&gt;=Z40,ISNUMBER(SEARCH("Type",N40))),ROUND(Z40*LEFT(INDEX(CMLIGHTBASE[Measure Subgroup 2], MATCH(F40,CMLIGHTBASE[Base Desc 1],0)),2)*X40/V40,0),IF(AND(L40&lt;Z40,ISNUMBER(SEARCH("Type",N40))),ROUND(L40*LEFT(INDEX(CMLIGHTBASE[Measure Subgroup 2], MATCH(F40,CMLIGHTBASE[Base Desc 1],0)),2)*X40/V40,0),IF(OR(ISNUMBER(SEARCH("Fixture",N40)),ISNUMBER(SEARCH("Kit",N40))),Z40*X40,Z40*X40))))</f>
        <v/>
      </c>
      <c r="AZ40" s="689" t="str">
        <f t="shared" ref="AZ40" si="45">IF(OR(C40="Incandescent",C40="Halogen",C40="Exit Sign"),CONCATENATE(C40,"-",F40),IF(C40="Pulse Start Metal Halide",CONCATENATE("Metal Halide-",N40),CONCATENATE(C40,"-",N40)))</f>
        <v>-</v>
      </c>
      <c r="BA40" s="689" t="str">
        <f>IF(OR(C40="",F40="",J40="",L40="",N40="",R40="",X40="",Z40="",AB40="",AF40="",AH40="",AD40=""),"",
IF(ISNUMBER(SEARCH("Linear",C40)),INDEX(PMELIGHTLIN[Measure '#],MATCH(AZ40,PMELIGHTLIN[Measure Validator],0)),
IF(OR(C40="Metal Halide",C40="Pulse Start Metal Halide",C40="HP Sodium",C40="Mercury Vapor"),INDEX(PMELIGHTHID[Measure '#],MATCH(AZ40,PMELIGHTHID[Measure Validator],0)),
IF(OR(C40="Incandescent",C40="Halogen",C40="Exit Sign"),INDEX(PMELIGHTINCAN[Measure '#],MATCH(AZ40,PMELIGHTINCAN[Measure Validator],0))))))</f>
        <v/>
      </c>
      <c r="BB40" s="689" t="str">
        <f ca="1">IFERROR(IF(OR(C40="",F40="",J40="",L40="",N40="",R40="",X40="",Z40="",AB40="",AF40="",AH40="",AD40=""),"",IF(AND(ISNUMBER(SEARCH("Linear",C40)),OR(ISNUMBER(SEARCH("Yes",M02S02F44)),M02S02F44="")),INDEX(PMELIGHTLIN[Inc Rate Unit FT],MATCH(AZ40,PMELIGHTLIN[Measure Validator],0)),IF(AND(ISNUMBER(SEARCH("Linear",C40)),OR(ISNUMBER(SEARCH("No",M02S02F44)))),INDEX(PMELIGHTLIN[Inc Rate Unit PA],MATCH(AZ40,PMELIGHTLIN[Measure Validator],0)),IF(OR(C40="Metal Halide",C40="Pulse Start Metal Halide",C40="HP Sodium",C40="Mercury Vapor"),INDEX(PMELIGHTHID[Inc Rate Unit],MATCH(AZ40,PMELIGHTHID[Measure Validator],0)),IF(OR(C40="Incandescent",C40="Halogen",C40="Exit Sign"),INDEX(PMELIGHTINCAN[Inc Rate Unit],MATCH(AZ40,PMELIGHTINCAN[Measure Validator],0)))))))*IF(AND(ISNUMBER(SEARCH("NO",M02S02F44)),M02S02F43&lt;=DATEVALUE("12/31/2021"),TODAY()&lt;=LIGHTING2021,OR(C40="Metal Halide",C40="Pulse Start Metal Halide",C40="HP Sodium",C40="Mercury Vapor",ISNUMBER(SEARCH("Linear",C40)))),LIGHTRATE21,1),"")</f>
        <v/>
      </c>
      <c r="BC40" s="689">
        <f>IFERROR(ROUND(IF(BA40="","",IF(OR(ISNUMBER(SEARCH("Yes",M02S02F44)),M02S02F44=""),IF(AND(L40&gt;=Z40,ISNUMBER(SEARCH("Type",N40))),BB40*(Z40*V40)*LEFT(INDEX(CMLIGHTBASE[Measure Subgroup 1], MATCH(F40,CMLIGHTBASE[Base Desc 1],0)),1),IF(AND(L40&lt;Z40,ISNUMBER(SEARCH("Type",N40))),BB40*(V40*L40)*LEFT(INDEX(CMLIGHTBASE[Measure Subgroup 1], MATCH(F40,CMLIGHTBASE[Base Desc 1],0)),1),0)),IF(ISNUMBER(SEARCH("Type",N40)),(AX40-AY40)*BB40,0))),2),0)</f>
        <v>0</v>
      </c>
      <c r="BD40" s="689" t="str">
        <f t="shared" ref="BD40" si="46">IFERROR((IF(BA40="","",IF(ISNUMBER(SEARCH("Type",N40)),0,IF(OR(C40="Incandescent",C40="Halogen",C40="Exit Sign"),Z40*BB40,IF(L40&gt;=Z40,((Z40*J40)-(Z40*X40)),((L40*J40)-(Z40*X40)))*BB40)))),0)</f>
        <v/>
      </c>
      <c r="BE40" s="685"/>
      <c r="BF40" s="683">
        <f t="shared" ref="BF40" si="47">IFERROR(ROUND(BH40*1.1,2),0)</f>
        <v>0</v>
      </c>
      <c r="BG40" s="654" t="str">
        <f>IF(OR(C40="",F40="",J40="",L40="",N40="",R40="",X40="",Z40="",AB40="",AF40="",AH40="",AD40=""),"",IF(BI40&lt;&gt;"",BI40,ROUND(BF40*BONUSADJ,2)))</f>
        <v/>
      </c>
      <c r="BH40" s="654" t="str">
        <f t="shared" si="3"/>
        <v/>
      </c>
      <c r="BI40" s="684" t="str">
        <f t="shared" ref="BI40" si="48">IF(OR(C40="",F40="",J40="",L40="",N40="",R40="",X40="",Z40="",AB40="",AF40="",AH40="",AD40=""),"",IFERROR(IF(Z40&lt;&gt;L40,"One-for-One Replacement Only",IF(((J40*L40)-(X40*Z40))&lt;=0,"No Savings",IF((AX40-AY40)&lt;=0,"No Incentive",IF(AND(ISNUMBER(SEARCH("Linear",C40)),AD40&lt;50000),"Lamp Life Too Short","")))),"Submit for Review"))</f>
        <v/>
      </c>
      <c r="BJ40" s="654" t="str">
        <f t="shared" ref="BJ40" si="49">IF(OR(C40="",F40="",J40="",L40="",N40="",R40="",X40="",Z40="",AB40="",AF40="",AH40="",AD40=""),"",IF(BI40&lt;&gt;"",BI40,MIN(IF(ISNUMBER(SEARCH("Type",N40)),BC40,BD40),AT40)))</f>
        <v/>
      </c>
      <c r="BM40" s="650" t="str">
        <f>IF(OR(C40="",F40="",J40="",L40="",N40="",R40="",X40="",Z40="",AB40="",AF40="",AH40="",AD40=""),"",IFERROR(IF(BN38&lt;SBDICAP,"SBDI","Standard"),""))</f>
        <v/>
      </c>
      <c r="BN40" s="655">
        <f>SUMIF($BM$32:BM39,"=SBDI",$BQ$32:BQ39)+IF(BM40="SBDI",BQ40,0)</f>
        <v>0</v>
      </c>
      <c r="BO40" s="655">
        <f t="shared" ref="BO40" ca="1" si="50">IFERROR(IF(AND(BM40="SBDI",BB40*(AX40-AY40)&gt;BT40),(BB40*(AX40-AY40))-BT40,IF(AND(BM40="Standard",BB40*(AX40-AY40)&gt;BP40),(BB40*(AX40-AY40))-BP40,0)),0)</f>
        <v>0</v>
      </c>
      <c r="BP40" s="655" t="str">
        <f>IF(OR(C40="",F40="",J40="",L40="",N40="",R40="",X40="",Z40="",AB40="",AF40="",AH40="",AD40=""),"",ROUND(MIN(AT40,IF(ISNUMBER(SEARCH("Linear",C40)),INDEX(PMELIGHTLIN[Inc Rate Unit PA],MATCH(AZ40,PMELIGHTLIN[Measure Validator],0))*(AX40-AY40),IF(ISNUMBER(SEARCH("Exit",C40)),INDEX(PMELIGHTINCAN[Inc Rate Unit],MATCH(AZ40,PMELIGHTINCAN[Measure Validator],0))*Z40,INDEX(PMELIGHTHID[Inc Rate Unit],MATCH(AZ40,PMELIGHTHID[Measure Validator],0))*(AX40-AY40)))),2))</f>
        <v/>
      </c>
      <c r="BQ40" s="655" t="str">
        <f>IF(OR(C40="",F40="",J40="",L40="",N40="",R40="",X40="",Z40="",AB40="",AF40="",AH40="",AD40=""),"",
IF(AND(BM40="SBDI",ISNUMBER(SEARCH("Linear",C40))),ROUND(MIN(AT40,INDEX(PMELIGHTLIN[Inc Rate SBDI],MATCH(AZ40,PMELIGHTLIN[Measure Validator],0))*(AX40-AY40),SBDICAP-BN38),2),
IF(AND(BM40="SBDI",ISNUMBER(SEARCH("Exit",C40))),ROUND(MIN(AT40,INDEX(PMELIGHTINCAN[Inc Rate SBDI],MATCH(AZ40,PMELIGHTINCAN[Measure Validator],0))*Z40,SBDICAP-BN38),2),
IF(AND(BM40="SBDI",OR(ISNUMBER(SEARCH("Sodium",C40)),ISNUMBER(SEARCH("Vapor",C40)),ISNUMBER(SEARCH("Halide",C40)),ISNUMBER(SEARCH("Linear",C40)))),ROUND(MIN(AT40,INDEX(PMELIGHTHID[Inc Rate SBDI],MATCH(AZ40,PMELIGHTHID[Measure Validator],0))*(AX40-AY40),SBDICAP-BN38),2),
IF(AND(BM40="Standard",ISNUMBER(SEARCH("Linear",C40))),ROUND(MIN(AT40,INDEX(PMELIGHTLIN[Inc Rate Unit PA],MATCH(AZ40,PMELIGHTLIN[Measure Validator],0))*(AX40-AY40)),2),
IF(AND(BM40="Standard",ISNUMBER(SEARCH("Exit",C40))),ROUND(MIN(AT40,INDEX(PMELIGHTINCAN[Inc Rate Unit],MATCH(AZ40,PMELIGHTINCAN[Measure Validator],0))*Z40),2),
IF(AND(BM40="Standard",OR(ISNUMBER(SEARCH("Sodium",C40)),ISNUMBER(SEARCH("Vapor",C40)),ISNUMBER(SEARCH("Halide",C40)),ISNUMBER(SEARCH("Linear",C40)))),ROUND(MIN(AT40,INDEX(PMELIGHTHID[Inc Rate Unit],MATCH(AZ40,PMELIGHTHID[Measure Validator],0))*(AX40-AY40)),2))))))))</f>
        <v/>
      </c>
      <c r="BR40" s="656">
        <f>IF(AND(BM40="SBDI",BN40&gt;=SBDICAP),
IF(ISNUMBER(SEARCH("Linear",C40)),ROUNDUP((((INDEX(PMELIGHTLIN[Inc Rate SBDI],MATCH(AZ40,PMELIGHTLIN[Measure Validator],0))*(AX40-AY40)-BQ40))/BB40),0),
IF(ISNUMBER(SEARCH("Exit",C40)),ROUNDUP((((INDEX(PMELIGHTINCAN[Inc Rate SBDI],MATCH(AZ40,PMELIGHTLIN[Measure Validator],0))*(Z40)-BQ40))/BB40),0),
ROUNDUP((((INDEX(PMELIGHTHID[Inc Rate SBDI],MATCH(AZ40,PMELIGHTHID[Measure Validator],0))*(AX40-AY40)-BQ40))/BB40),0))),0)</f>
        <v>0</v>
      </c>
      <c r="BS40" s="650">
        <f>IFERROR(IF(ISNUMBER(SEARCH("Linear",C40)),
IF(MIN(INDEX(PMELIGHTLIN[Inc Rate Unit PA],MATCH(AZ40,PMELIGHTLIN[Measure Validator],0))*BR40,AT40-BT40)&lt;0,0,MIN(INDEX(PMELIGHTLIN[Inc Rate Unit PA],MATCH(AZ40,PMELIGHTLIN[Measure Validator],0))*BR40,AT40-BT40)),
IF(ISNUMBER(SEARCH("Exit",C40)),
IF(MIN(INDEX(PMELIGHTINCAN[Inc Rate Unit],MATCH(AZ40,PMELIGHTINCAN[Measure Validator],0))*BR40,AT40-BT40)&lt;0,0,MIN(INDEX(PMELIGHTINCAN[Inc Rate Unit],MATCH(AZ40,PMELIGHTINCAN[Measure Validator],0))*BR40,AT40-BT40)),
IF(MIN(INDEX(PMELIGHTHID[Inc Rate Unit],MATCH(AZ40,PMELIGHTHID[Measure Validator],0))*BR40,AT40-BT40)&lt;0,0,MIN(INDEX(PMELIGHTHID[Inc Rate Unit],MATCH(AZ40,PMELIGHTHID[Measure Validator],0))*BR40,AT40-BT40)))),0)</f>
        <v>0</v>
      </c>
      <c r="BT40" s="650" t="str">
        <f t="shared" ref="BT40" si="51">IF(BR40=0,BQ40,
IF(ISNUMBER(SEARCH("Exit",C40)),Z40-BR40*BB40,((AX40-AY40)-BR40)*BB40))</f>
        <v/>
      </c>
      <c r="BU40" s="650">
        <f>ROUND(SUMIF($BM$32:BM38,"=SBDI",$BT$32:BT39),2)+IF(BM40="SBDI",BT40,0)</f>
        <v>0</v>
      </c>
      <c r="BV40" s="650" t="str">
        <f t="shared" ref="BV40" si="52">IF(AND(BM40="SBDI",BR40&lt;&gt;0),BS40+BT40,
IF(AND(BM40="SBDI",BR40=0),BQ40,BP40))</f>
        <v/>
      </c>
    </row>
    <row r="41" spans="2:74" ht="15.95" customHeight="1" x14ac:dyDescent="0.25">
      <c r="B41" s="698"/>
      <c r="C41" s="706"/>
      <c r="D41" s="707"/>
      <c r="E41" s="708"/>
      <c r="F41" s="710"/>
      <c r="G41" s="707"/>
      <c r="H41" s="707"/>
      <c r="I41" s="707"/>
      <c r="J41" s="700"/>
      <c r="K41" s="693"/>
      <c r="L41" s="692"/>
      <c r="M41" s="700"/>
      <c r="N41" s="706"/>
      <c r="O41" s="707"/>
      <c r="P41" s="707"/>
      <c r="Q41" s="708"/>
      <c r="R41" s="710"/>
      <c r="S41" s="707"/>
      <c r="T41" s="707"/>
      <c r="U41" s="708"/>
      <c r="V41" s="692"/>
      <c r="W41" s="693"/>
      <c r="X41" s="692"/>
      <c r="Y41" s="693"/>
      <c r="Z41" s="692"/>
      <c r="AA41" s="693"/>
      <c r="AB41" s="692"/>
      <c r="AC41" s="693"/>
      <c r="AD41" s="692"/>
      <c r="AE41" s="693"/>
      <c r="AF41" s="663"/>
      <c r="AG41" s="682"/>
      <c r="AH41" s="663"/>
      <c r="AI41" s="664"/>
      <c r="AJ41" s="668"/>
      <c r="AK41" s="669"/>
      <c r="AL41" s="669"/>
      <c r="AM41" s="670"/>
      <c r="AN41" s="674"/>
      <c r="AO41" s="675"/>
      <c r="AP41" s="675"/>
      <c r="AQ41" s="676"/>
      <c r="AR41" s="448"/>
      <c r="AT41" s="686"/>
      <c r="AU41" s="685"/>
      <c r="AV41" s="660"/>
      <c r="AW41" s="660"/>
      <c r="AX41" s="688"/>
      <c r="AY41" s="689"/>
      <c r="AZ41" s="689"/>
      <c r="BA41" s="689"/>
      <c r="BB41" s="689"/>
      <c r="BC41" s="689"/>
      <c r="BD41" s="689"/>
      <c r="BE41" s="685"/>
      <c r="BF41" s="683"/>
      <c r="BG41" s="654"/>
      <c r="BH41" s="654"/>
      <c r="BI41" s="685"/>
      <c r="BJ41" s="654"/>
      <c r="BM41" s="651"/>
      <c r="BN41" s="650"/>
      <c r="BO41" s="650"/>
      <c r="BP41" s="650"/>
      <c r="BQ41" s="650"/>
      <c r="BR41" s="657"/>
      <c r="BS41" s="651"/>
      <c r="BT41" s="651"/>
      <c r="BU41" s="651"/>
      <c r="BV41" s="651"/>
    </row>
    <row r="42" spans="2:74" ht="15.95" customHeight="1" x14ac:dyDescent="0.25">
      <c r="B42" s="698">
        <v>6</v>
      </c>
      <c r="C42" s="703"/>
      <c r="D42" s="704"/>
      <c r="E42" s="705"/>
      <c r="F42" s="709"/>
      <c r="G42" s="704"/>
      <c r="H42" s="704"/>
      <c r="I42" s="704"/>
      <c r="J42" s="699" t="str">
        <f>IF(OR(C42="Halogen",C42="Incandescent",C42="Exit Sign",F42=""),"",INDEX(CMLIGHTBASE[Base Watt 1],MATCH(F42,CMLIGHTBASE[Base Desc 1],0)))</f>
        <v/>
      </c>
      <c r="K42" s="691"/>
      <c r="L42" s="690"/>
      <c r="M42" s="699"/>
      <c r="N42" s="703"/>
      <c r="O42" s="704"/>
      <c r="P42" s="704"/>
      <c r="Q42" s="705"/>
      <c r="R42" s="709"/>
      <c r="S42" s="704"/>
      <c r="T42" s="704"/>
      <c r="U42" s="705"/>
      <c r="V42" s="690" t="str">
        <f t="shared" ref="V42" si="53">IF(N42="","",IF(ISNUMBER(SEARCH("Type",N42)),"","N/A"))</f>
        <v/>
      </c>
      <c r="W42" s="691"/>
      <c r="X42" s="690"/>
      <c r="Y42" s="691"/>
      <c r="Z42" s="690"/>
      <c r="AA42" s="691"/>
      <c r="AB42" s="690" t="str">
        <f t="shared" ref="AB42" si="54">IF(C42="Exit Sign", 8760,"")</f>
        <v/>
      </c>
      <c r="AC42" s="691"/>
      <c r="AD42" s="690"/>
      <c r="AE42" s="691"/>
      <c r="AF42" s="661"/>
      <c r="AG42" s="681"/>
      <c r="AH42" s="661"/>
      <c r="AI42" s="662"/>
      <c r="AJ42" s="665" t="str">
        <f>IF(OR(C42="",F42="",J42="",L42="",N42="",R42="",X42="",Z42="",AB42="",AF42="",AH42="",AD42=""),"",IFERROR(ROUND(IF((AV42-AW42)&lt;=0,0,IF(M02S02F32&lt;&gt;"",INDEX(SPACEHEAT[HIF],MATCH(M02S02F32,SHEAT,0))*(AV42-AW42),(AV42-AW42))),0),""))</f>
        <v/>
      </c>
      <c r="AK42" s="666"/>
      <c r="AL42" s="666"/>
      <c r="AM42" s="667"/>
      <c r="AN42" s="671" t="str">
        <f t="shared" ref="AN42" si="55">BH42</f>
        <v/>
      </c>
      <c r="AO42" s="672"/>
      <c r="AP42" s="672"/>
      <c r="AQ42" s="673"/>
      <c r="AR42" s="448"/>
      <c r="AT42" s="686" t="str">
        <f t="shared" ref="AT42" si="56">IF(OR(C42="",F42="",J42="",L42="",N42="",R42="",X42="",Z42="",AB42="",AF42="",AH42="",AD42=""),"",(ROUND((AF42+AH42)*Z42,2)))</f>
        <v/>
      </c>
      <c r="AU42" s="685" t="str">
        <f>IF(OR(C42="",F42="",J42="",L42="",N42="",R42="",X42="",Z42="",AB42="",AF42="",AH42="",AD42=""),"",ROUND(AJ42*INDEX(ENDUSEALL[Factor],MATCH("Lighting",ENDUSEALL[End Use to Coincident Peak Demand Factors],0)),4))</f>
        <v/>
      </c>
      <c r="AV42" s="660" t="str">
        <f t="shared" ref="AV42" si="57">IF(OR(C42="",F42="",J42="",L42="",N42="",R42="",X42="",Z42="",AB42="",AF42="",AH42="",AD42=""),"",IF(C42="Incandescent",ROUND(0.24*J42*L42*AB42/1000,0),
IF(C42="Halogen",ROUND(0.34*J42*L42*AB42/1000,0),ROUND(L42*AB42*J42/1000,0))))</f>
        <v/>
      </c>
      <c r="AW42" s="660" t="str">
        <f t="shared" ref="AW42" si="58">IF(OR(C42="",F42="",J42="",L42="",N42="",R42="",X42="",Z42="",AB42="",AF42="",AH42="",AD42=""),"",IF(ISNUMBER(SEARCH("Network",N42)),ROUND(0.76*AB42*Z42*X42/1000,0),ROUND(X42*AB42*Z42/1000,0)))</f>
        <v/>
      </c>
      <c r="AX42" s="687" t="str">
        <f>IF(OR(C42="",F42="",J42="",L42="",N42="",R42="",X42="",Z42="",AB42="",AF42="",AH42="",AD42=""),"",
IF(AND(L42&gt;=Z42,ISNUMBER(SEARCH("Type",N42))),ROUND(Z42*LEFT(INDEX(CMLIGHTBASE[Measure Subgroup 2], MATCH(F42,CMLIGHTBASE[Base Desc 1],0)),2)*J42/LEFT(INDEX(CMLIGHTBASE[Measure Subgroup 2], MATCH(F42,CMLIGHTBASE[Base Desc 1],0)),2),0),
IF(AND(L42&lt;Z42,ISNUMBER(SEARCH("Type",N42))),ROUND(L42*LEFT(INDEX(CMLIGHTBASE[Measure Subgroup 2], MATCH(F42,CMLIGHTBASE[Base Desc 1],0)),2)*J42/LEFT(INDEX(CMLIGHTBASE[Measure Subgroup 2], MATCH(F42,CMLIGHTBASE[Base Desc 1],0)),2),0),
IF(AND(OR(ISNUMBER(SEARCH("Fixture",N42)),ISNUMBER(SEARCH("Kit",N42))),L42&gt;=Z42,ISNUMBER(SEARCH("Linear",C42))),Z42*J42,
IF(C42="Incandescent",0.24*J42*L42,IF(C42="Halogen",0.34*J42*L42,L42*J42))))))</f>
        <v/>
      </c>
      <c r="AY42" s="689" t="str">
        <f>IF(OR(C42="",F42="",J42="",L42="",N42="",R42="",X42="",Z42="",AB42="",AF42="",AH42="",AD42=""),"",IF(AND(L42&gt;=Z42,ISNUMBER(SEARCH("Type",N42))),ROUND(Z42*LEFT(INDEX(CMLIGHTBASE[Measure Subgroup 2], MATCH(F42,CMLIGHTBASE[Base Desc 1],0)),2)*X42/V42,0),IF(AND(L42&lt;Z42,ISNUMBER(SEARCH("Type",N42))),ROUND(L42*LEFT(INDEX(CMLIGHTBASE[Measure Subgroup 2], MATCH(F42,CMLIGHTBASE[Base Desc 1],0)),2)*X42/V42,0),IF(OR(ISNUMBER(SEARCH("Fixture",N42)),ISNUMBER(SEARCH("Kit",N42))),Z42*X42,Z42*X42))))</f>
        <v/>
      </c>
      <c r="AZ42" s="689" t="str">
        <f t="shared" ref="AZ42" si="59">IF(OR(C42="Incandescent",C42="Halogen",C42="Exit Sign"),CONCATENATE(C42,"-",F42),IF(C42="Pulse Start Metal Halide",CONCATENATE("Metal Halide-",N42),CONCATENATE(C42,"-",N42)))</f>
        <v>-</v>
      </c>
      <c r="BA42" s="689" t="str">
        <f>IF(OR(C42="",F42="",J42="",L42="",N42="",R42="",X42="",Z42="",AB42="",AF42="",AH42="",AD42=""),"",
IF(ISNUMBER(SEARCH("Linear",C42)),INDEX(PMELIGHTLIN[Measure '#],MATCH(AZ42,PMELIGHTLIN[Measure Validator],0)),
IF(OR(C42="Metal Halide",C42="Pulse Start Metal Halide",C42="HP Sodium",C42="Mercury Vapor"),INDEX(PMELIGHTHID[Measure '#],MATCH(AZ42,PMELIGHTHID[Measure Validator],0)),
IF(OR(C42="Incandescent",C42="Halogen",C42="Exit Sign"),INDEX(PMELIGHTINCAN[Measure '#],MATCH(AZ42,PMELIGHTINCAN[Measure Validator],0))))))</f>
        <v/>
      </c>
      <c r="BB42" s="689" t="str">
        <f ca="1">IFERROR(IF(OR(C42="",F42="",J42="",L42="",N42="",R42="",X42="",Z42="",AB42="",AF42="",AH42="",AD42=""),"",IF(AND(ISNUMBER(SEARCH("Linear",C42)),OR(ISNUMBER(SEARCH("Yes",M02S02F44)),M02S02F44="")),INDEX(PMELIGHTLIN[Inc Rate Unit FT],MATCH(AZ42,PMELIGHTLIN[Measure Validator],0)),IF(AND(ISNUMBER(SEARCH("Linear",C42)),OR(ISNUMBER(SEARCH("No",M02S02F44)))),INDEX(PMELIGHTLIN[Inc Rate Unit PA],MATCH(AZ42,PMELIGHTLIN[Measure Validator],0)),IF(OR(C42="Metal Halide",C42="Pulse Start Metal Halide",C42="HP Sodium",C42="Mercury Vapor"),INDEX(PMELIGHTHID[Inc Rate Unit],MATCH(AZ42,PMELIGHTHID[Measure Validator],0)),IF(OR(C42="Incandescent",C42="Halogen",C42="Exit Sign"),INDEX(PMELIGHTINCAN[Inc Rate Unit],MATCH(AZ42,PMELIGHTINCAN[Measure Validator],0)))))))*IF(AND(ISNUMBER(SEARCH("NO",M02S02F44)),M02S02F43&lt;=DATEVALUE("12/31/2021"),TODAY()&lt;=LIGHTING2021,OR(C42="Metal Halide",C42="Pulse Start Metal Halide",C42="HP Sodium",C42="Mercury Vapor",ISNUMBER(SEARCH("Linear",C42)))),LIGHTRATE21,1),"")</f>
        <v/>
      </c>
      <c r="BC42" s="689">
        <f>IFERROR(ROUND(IF(BA42="","",IF(OR(ISNUMBER(SEARCH("Yes",M02S02F44)),M02S02F44=""),IF(AND(L42&gt;=Z42,ISNUMBER(SEARCH("Type",N42))),BB42*(Z42*V42)*LEFT(INDEX(CMLIGHTBASE[Measure Subgroup 1], MATCH(F42,CMLIGHTBASE[Base Desc 1],0)),1),IF(AND(L42&lt;Z42,ISNUMBER(SEARCH("Type",N42))),BB42*(V42*L42)*LEFT(INDEX(CMLIGHTBASE[Measure Subgroup 1], MATCH(F42,CMLIGHTBASE[Base Desc 1],0)),1),0)),IF(ISNUMBER(SEARCH("Type",N42)),(AX42-AY42)*BB42,0))),2),0)</f>
        <v>0</v>
      </c>
      <c r="BD42" s="689" t="str">
        <f t="shared" ref="BD42" si="60">IFERROR((IF(BA42="","",IF(ISNUMBER(SEARCH("Type",N42)),0,IF(OR(C42="Incandescent",C42="Halogen",C42="Exit Sign"),Z42*BB42,IF(L42&gt;=Z42,((Z42*J42)-(Z42*X42)),((L42*J42)-(Z42*X42)))*BB42)))),0)</f>
        <v/>
      </c>
      <c r="BE42" s="685"/>
      <c r="BF42" s="683">
        <f t="shared" ref="BF42" si="61">IFERROR(ROUND(BH42*1.1,2),0)</f>
        <v>0</v>
      </c>
      <c r="BG42" s="654" t="str">
        <f>IF(OR(C42="",F42="",J42="",L42="",N42="",R42="",X42="",Z42="",AB42="",AF42="",AH42="",AD42=""),"",IF(BI42&lt;&gt;"",BI42,ROUND(BF42*BONUSADJ,2)))</f>
        <v/>
      </c>
      <c r="BH42" s="654" t="str">
        <f t="shared" si="3"/>
        <v/>
      </c>
      <c r="BI42" s="684" t="str">
        <f t="shared" ref="BI42" si="62">IF(OR(C42="",F42="",J42="",L42="",N42="",R42="",X42="",Z42="",AB42="",AF42="",AH42="",AD42=""),"",IFERROR(IF(Z42&lt;&gt;L42,"One-for-One Replacement Only",IF(((J42*L42)-(X42*Z42))&lt;=0,"No Savings",IF((AX42-AY42)&lt;=0,"No Incentive",IF(AND(ISNUMBER(SEARCH("Linear",C42)),AD42&lt;50000),"Lamp Life Too Short","")))),"Submit for Review"))</f>
        <v/>
      </c>
      <c r="BJ42" s="654" t="str">
        <f t="shared" ref="BJ42" si="63">IF(OR(C42="",F42="",J42="",L42="",N42="",R42="",X42="",Z42="",AB42="",AF42="",AH42="",AD42=""),"",IF(BI42&lt;&gt;"",BI42,MIN(IF(ISNUMBER(SEARCH("Type",N42)),BC42,BD42),AT42)))</f>
        <v/>
      </c>
      <c r="BM42" s="650" t="str">
        <f>IF(OR(C42="",F42="",J42="",L42="",N42="",R42="",X42="",Z42="",AB42="",AF42="",AH42="",AD42=""),"",IFERROR(IF(BN40&lt;SBDICAP,"SBDI","Standard"),""))</f>
        <v/>
      </c>
      <c r="BN42" s="655">
        <f>SUMIF($BM$32:BM41,"=SBDI",$BQ$32:BQ41)+IF(BM42="SBDI",BQ42,0)</f>
        <v>0</v>
      </c>
      <c r="BO42" s="655">
        <f t="shared" ref="BO42" ca="1" si="64">IFERROR(IF(AND(BM42="SBDI",BB42*(AX42-AY42)&gt;BT42),(BB42*(AX42-AY42))-BT42,IF(AND(BM42="Standard",BB42*(AX42-AY42)&gt;BP42),(BB42*(AX42-AY42))-BP42,0)),0)</f>
        <v>0</v>
      </c>
      <c r="BP42" s="655" t="str">
        <f>IF(OR(C42="",F42="",J42="",L42="",N42="",R42="",X42="",Z42="",AB42="",AF42="",AH42="",AD42=""),"",ROUND(MIN(AT42,IF(ISNUMBER(SEARCH("Linear",C42)),INDEX(PMELIGHTLIN[Inc Rate Unit PA],MATCH(AZ42,PMELIGHTLIN[Measure Validator],0))*(AX42-AY42),IF(ISNUMBER(SEARCH("Exit",C42)),INDEX(PMELIGHTINCAN[Inc Rate Unit],MATCH(AZ42,PMELIGHTINCAN[Measure Validator],0))*Z42,INDEX(PMELIGHTHID[Inc Rate Unit],MATCH(AZ42,PMELIGHTHID[Measure Validator],0))*(AX42-AY42)))),2))</f>
        <v/>
      </c>
      <c r="BQ42" s="655" t="str">
        <f>IF(OR(C42="",F42="",J42="",L42="",N42="",R42="",X42="",Z42="",AB42="",AF42="",AH42="",AD42=""),"",
IF(AND(BM42="SBDI",ISNUMBER(SEARCH("Linear",C42))),ROUND(MIN(AT42,INDEX(PMELIGHTLIN[Inc Rate SBDI],MATCH(AZ42,PMELIGHTLIN[Measure Validator],0))*(AX42-AY42),SBDICAP-BN40),2),
IF(AND(BM42="SBDI",ISNUMBER(SEARCH("Exit",C42))),ROUND(MIN(AT42,INDEX(PMELIGHTINCAN[Inc Rate SBDI],MATCH(AZ42,PMELIGHTINCAN[Measure Validator],0))*Z42,SBDICAP-BN40),2),
IF(AND(BM42="SBDI",OR(ISNUMBER(SEARCH("Sodium",C42)),ISNUMBER(SEARCH("Vapor",C42)),ISNUMBER(SEARCH("Halide",C42)),ISNUMBER(SEARCH("Linear",C42)))),ROUND(MIN(AT42,INDEX(PMELIGHTHID[Inc Rate SBDI],MATCH(AZ42,PMELIGHTHID[Measure Validator],0))*(AX42-AY42),SBDICAP-BN40),2),
IF(AND(BM42="Standard",ISNUMBER(SEARCH("Linear",C42))),ROUND(MIN(AT42,INDEX(PMELIGHTLIN[Inc Rate Unit PA],MATCH(AZ42,PMELIGHTLIN[Measure Validator],0))*(AX42-AY42)),2),
IF(AND(BM42="Standard",ISNUMBER(SEARCH("Exit",C42))),ROUND(MIN(AT42,INDEX(PMELIGHTINCAN[Inc Rate Unit],MATCH(AZ42,PMELIGHTINCAN[Measure Validator],0))*Z42),2),
IF(AND(BM42="Standard",OR(ISNUMBER(SEARCH("Sodium",C42)),ISNUMBER(SEARCH("Vapor",C42)),ISNUMBER(SEARCH("Halide",C42)),ISNUMBER(SEARCH("Linear",C42)))),ROUND(MIN(AT42,INDEX(PMELIGHTHID[Inc Rate Unit],MATCH(AZ42,PMELIGHTHID[Measure Validator],0))*(AX42-AY42)),2))))))))</f>
        <v/>
      </c>
      <c r="BR42" s="656">
        <f>IF(AND(BM42="SBDI",BN42&gt;=SBDICAP),
IF(ISNUMBER(SEARCH("Linear",C42)),ROUNDUP((((INDEX(PMELIGHTLIN[Inc Rate SBDI],MATCH(AZ42,PMELIGHTLIN[Measure Validator],0))*(AX42-AY42)-BQ42))/BB42),0),
IF(ISNUMBER(SEARCH("Exit",C42)),ROUNDUP((((INDEX(PMELIGHTINCAN[Inc Rate SBDI],MATCH(AZ42,PMELIGHTLIN[Measure Validator],0))*(Z42)-BQ42))/BB42),0),
ROUNDUP((((INDEX(PMELIGHTHID[Inc Rate SBDI],MATCH(AZ42,PMELIGHTHID[Measure Validator],0))*(AX42-AY42)-BQ42))/BB42),0))),0)</f>
        <v>0</v>
      </c>
      <c r="BS42" s="650">
        <f>IFERROR(IF(ISNUMBER(SEARCH("Linear",C42)),
IF(MIN(INDEX(PMELIGHTLIN[Inc Rate Unit PA],MATCH(AZ42,PMELIGHTLIN[Measure Validator],0))*BR42,AT42-BT42)&lt;0,0,MIN(INDEX(PMELIGHTLIN[Inc Rate Unit PA],MATCH(AZ42,PMELIGHTLIN[Measure Validator],0))*BR42,AT42-BT42)),
IF(ISNUMBER(SEARCH("Exit",C42)),
IF(MIN(INDEX(PMELIGHTINCAN[Inc Rate Unit],MATCH(AZ42,PMELIGHTINCAN[Measure Validator],0))*BR42,AT42-BT42)&lt;0,0,MIN(INDEX(PMELIGHTINCAN[Inc Rate Unit],MATCH(AZ42,PMELIGHTINCAN[Measure Validator],0))*BR42,AT42-BT42)),
IF(MIN(INDEX(PMELIGHTHID[Inc Rate Unit],MATCH(AZ42,PMELIGHTHID[Measure Validator],0))*BR42,AT42-BT42)&lt;0,0,MIN(INDEX(PMELIGHTHID[Inc Rate Unit],MATCH(AZ42,PMELIGHTHID[Measure Validator],0))*BR42,AT42-BT42)))),0)</f>
        <v>0</v>
      </c>
      <c r="BT42" s="650" t="str">
        <f t="shared" ref="BT42" si="65">IF(BR42=0,BQ42,
IF(ISNUMBER(SEARCH("Exit",C42)),Z42-BR42*BB42,((AX42-AY42)-BR42)*BB42))</f>
        <v/>
      </c>
      <c r="BU42" s="650">
        <f>ROUND(SUMIF($BM$32:BM40,"=SBDI",$BT$32:BT41),2)+IF(BM42="SBDI",BT42,0)</f>
        <v>0</v>
      </c>
      <c r="BV42" s="650" t="str">
        <f t="shared" ref="BV42" si="66">IF(AND(BM42="SBDI",BR42&lt;&gt;0),BS42+BT42,
IF(AND(BM42="SBDI",BR42=0),BQ42,BP42))</f>
        <v/>
      </c>
    </row>
    <row r="43" spans="2:74" ht="15.95" customHeight="1" x14ac:dyDescent="0.25">
      <c r="B43" s="698"/>
      <c r="C43" s="706"/>
      <c r="D43" s="707"/>
      <c r="E43" s="708"/>
      <c r="F43" s="710"/>
      <c r="G43" s="707"/>
      <c r="H43" s="707"/>
      <c r="I43" s="707"/>
      <c r="J43" s="700"/>
      <c r="K43" s="693"/>
      <c r="L43" s="692"/>
      <c r="M43" s="700"/>
      <c r="N43" s="706"/>
      <c r="O43" s="707"/>
      <c r="P43" s="707"/>
      <c r="Q43" s="708"/>
      <c r="R43" s="710"/>
      <c r="S43" s="707"/>
      <c r="T43" s="707"/>
      <c r="U43" s="708"/>
      <c r="V43" s="692"/>
      <c r="W43" s="693"/>
      <c r="X43" s="692"/>
      <c r="Y43" s="693"/>
      <c r="Z43" s="692"/>
      <c r="AA43" s="693"/>
      <c r="AB43" s="692"/>
      <c r="AC43" s="693"/>
      <c r="AD43" s="692"/>
      <c r="AE43" s="693"/>
      <c r="AF43" s="663"/>
      <c r="AG43" s="682"/>
      <c r="AH43" s="663"/>
      <c r="AI43" s="664"/>
      <c r="AJ43" s="668"/>
      <c r="AK43" s="669"/>
      <c r="AL43" s="669"/>
      <c r="AM43" s="670"/>
      <c r="AN43" s="674"/>
      <c r="AO43" s="675"/>
      <c r="AP43" s="675"/>
      <c r="AQ43" s="676"/>
      <c r="AR43" s="448"/>
      <c r="AT43" s="686"/>
      <c r="AU43" s="685"/>
      <c r="AV43" s="660"/>
      <c r="AW43" s="660"/>
      <c r="AX43" s="688"/>
      <c r="AY43" s="689"/>
      <c r="AZ43" s="689"/>
      <c r="BA43" s="689"/>
      <c r="BB43" s="689"/>
      <c r="BC43" s="689"/>
      <c r="BD43" s="689"/>
      <c r="BE43" s="685"/>
      <c r="BF43" s="683"/>
      <c r="BG43" s="654"/>
      <c r="BH43" s="654"/>
      <c r="BI43" s="685"/>
      <c r="BJ43" s="654"/>
      <c r="BM43" s="651"/>
      <c r="BN43" s="650"/>
      <c r="BO43" s="650"/>
      <c r="BP43" s="650"/>
      <c r="BQ43" s="650"/>
      <c r="BR43" s="657"/>
      <c r="BS43" s="651"/>
      <c r="BT43" s="651"/>
      <c r="BU43" s="651"/>
      <c r="BV43" s="651"/>
    </row>
    <row r="44" spans="2:74" ht="15.95" customHeight="1" x14ac:dyDescent="0.25">
      <c r="B44" s="698">
        <v>7</v>
      </c>
      <c r="C44" s="703"/>
      <c r="D44" s="704"/>
      <c r="E44" s="705"/>
      <c r="F44" s="709"/>
      <c r="G44" s="704"/>
      <c r="H44" s="704"/>
      <c r="I44" s="704"/>
      <c r="J44" s="699" t="str">
        <f>IF(OR(C44="Halogen",C44="Incandescent",C44="Exit Sign",F44=""),"",INDEX(CMLIGHTBASE[Base Watt 1],MATCH(F44,CMLIGHTBASE[Base Desc 1],0)))</f>
        <v/>
      </c>
      <c r="K44" s="691"/>
      <c r="L44" s="690"/>
      <c r="M44" s="699"/>
      <c r="N44" s="703"/>
      <c r="O44" s="704"/>
      <c r="P44" s="704"/>
      <c r="Q44" s="705"/>
      <c r="R44" s="709"/>
      <c r="S44" s="704"/>
      <c r="T44" s="704"/>
      <c r="U44" s="705"/>
      <c r="V44" s="690" t="str">
        <f t="shared" ref="V44" si="67">IF(N44="","",IF(ISNUMBER(SEARCH("Type",N44)),"","N/A"))</f>
        <v/>
      </c>
      <c r="W44" s="691"/>
      <c r="X44" s="690"/>
      <c r="Y44" s="691"/>
      <c r="Z44" s="690"/>
      <c r="AA44" s="691"/>
      <c r="AB44" s="690" t="str">
        <f t="shared" ref="AB44" si="68">IF(C44="Exit Sign", 8760,"")</f>
        <v/>
      </c>
      <c r="AC44" s="691"/>
      <c r="AD44" s="690"/>
      <c r="AE44" s="691"/>
      <c r="AF44" s="661"/>
      <c r="AG44" s="681"/>
      <c r="AH44" s="661"/>
      <c r="AI44" s="662"/>
      <c r="AJ44" s="665" t="str">
        <f>IF(OR(C44="",F44="",J44="",L44="",N44="",R44="",X44="",Z44="",AB44="",AF44="",AH44="",AD44=""),"",IFERROR(ROUND(IF((AV44-AW44)&lt;=0,0,IF(M02S02F32&lt;&gt;"",INDEX(SPACEHEAT[HIF],MATCH(M02S02F32,SHEAT,0))*(AV44-AW44),(AV44-AW44))),0),""))</f>
        <v/>
      </c>
      <c r="AK44" s="666"/>
      <c r="AL44" s="666"/>
      <c r="AM44" s="667"/>
      <c r="AN44" s="671" t="str">
        <f t="shared" ref="AN44" si="69">BH44</f>
        <v/>
      </c>
      <c r="AO44" s="672"/>
      <c r="AP44" s="672"/>
      <c r="AQ44" s="673"/>
      <c r="AR44" s="448"/>
      <c r="AT44" s="686" t="str">
        <f t="shared" ref="AT44" si="70">IF(OR(C44="",F44="",J44="",L44="",N44="",R44="",X44="",Z44="",AB44="",AF44="",AH44="",AD44=""),"",(ROUND((AF44+AH44)*Z44,2)))</f>
        <v/>
      </c>
      <c r="AU44" s="685" t="str">
        <f>IF(OR(C44="",F44="",J44="",L44="",N44="",R44="",X44="",Z44="",AB44="",AF44="",AH44="",AD44=""),"",ROUND(AJ44*INDEX(ENDUSEALL[Factor],MATCH("Lighting",ENDUSEALL[End Use to Coincident Peak Demand Factors],0)),4))</f>
        <v/>
      </c>
      <c r="AV44" s="660" t="str">
        <f t="shared" ref="AV44" si="71">IF(OR(C44="",F44="",J44="",L44="",N44="",R44="",X44="",Z44="",AB44="",AF44="",AH44="",AD44=""),"",IF(C44="Incandescent",ROUND(0.24*J44*L44*AB44/1000,0),
IF(C44="Halogen",ROUND(0.34*J44*L44*AB44/1000,0),ROUND(L44*AB44*J44/1000,0))))</f>
        <v/>
      </c>
      <c r="AW44" s="660" t="str">
        <f t="shared" ref="AW44" si="72">IF(OR(C44="",F44="",J44="",L44="",N44="",R44="",X44="",Z44="",AB44="",AF44="",AH44="",AD44=""),"",IF(ISNUMBER(SEARCH("Network",N44)),ROUND(0.76*AB44*Z44*X44/1000,0),ROUND(X44*AB44*Z44/1000,0)))</f>
        <v/>
      </c>
      <c r="AX44" s="687" t="str">
        <f>IF(OR(C44="",F44="",J44="",L44="",N44="",R44="",X44="",Z44="",AB44="",AF44="",AH44="",AD44=""),"",
IF(AND(L44&gt;=Z44,ISNUMBER(SEARCH("Type",N44))),ROUND(Z44*LEFT(INDEX(CMLIGHTBASE[Measure Subgroup 2], MATCH(F44,CMLIGHTBASE[Base Desc 1],0)),2)*J44/LEFT(INDEX(CMLIGHTBASE[Measure Subgroup 2], MATCH(F44,CMLIGHTBASE[Base Desc 1],0)),2),0),
IF(AND(L44&lt;Z44,ISNUMBER(SEARCH("Type",N44))),ROUND(L44*LEFT(INDEX(CMLIGHTBASE[Measure Subgroup 2], MATCH(F44,CMLIGHTBASE[Base Desc 1],0)),2)*J44/LEFT(INDEX(CMLIGHTBASE[Measure Subgroup 2], MATCH(F44,CMLIGHTBASE[Base Desc 1],0)),2),0),
IF(AND(OR(ISNUMBER(SEARCH("Fixture",N44)),ISNUMBER(SEARCH("Kit",N44))),L44&gt;=Z44,ISNUMBER(SEARCH("Linear",C44))),Z44*J44,
IF(C44="Incandescent",0.24*J44*L44,IF(C44="Halogen",0.34*J44*L44,L44*J44))))))</f>
        <v/>
      </c>
      <c r="AY44" s="689" t="str">
        <f>IF(OR(C44="",F44="",J44="",L44="",N44="",R44="",X44="",Z44="",AB44="",AF44="",AH44="",AD44=""),"",IF(AND(L44&gt;=Z44,ISNUMBER(SEARCH("Type",N44))),ROUND(Z44*LEFT(INDEX(CMLIGHTBASE[Measure Subgroup 2], MATCH(F44,CMLIGHTBASE[Base Desc 1],0)),2)*X44/V44,0),IF(AND(L44&lt;Z44,ISNUMBER(SEARCH("Type",N44))),ROUND(L44*LEFT(INDEX(CMLIGHTBASE[Measure Subgroup 2], MATCH(F44,CMLIGHTBASE[Base Desc 1],0)),2)*X44/V44,0),IF(OR(ISNUMBER(SEARCH("Fixture",N44)),ISNUMBER(SEARCH("Kit",N44))),Z44*X44,Z44*X44))))</f>
        <v/>
      </c>
      <c r="AZ44" s="689" t="str">
        <f t="shared" ref="AZ44" si="73">IF(OR(C44="Incandescent",C44="Halogen",C44="Exit Sign"),CONCATENATE(C44,"-",F44),IF(C44="Pulse Start Metal Halide",CONCATENATE("Metal Halide-",N44),CONCATENATE(C44,"-",N44)))</f>
        <v>-</v>
      </c>
      <c r="BA44" s="689" t="str">
        <f>IF(OR(C44="",F44="",J44="",L44="",N44="",R44="",X44="",Z44="",AB44="",AF44="",AH44="",AD44=""),"",
IF(ISNUMBER(SEARCH("Linear",C44)),INDEX(PMELIGHTLIN[Measure '#],MATCH(AZ44,PMELIGHTLIN[Measure Validator],0)),
IF(OR(C44="Metal Halide",C44="Pulse Start Metal Halide",C44="HP Sodium",C44="Mercury Vapor"),INDEX(PMELIGHTHID[Measure '#],MATCH(AZ44,PMELIGHTHID[Measure Validator],0)),
IF(OR(C44="Incandescent",C44="Halogen",C44="Exit Sign"),INDEX(PMELIGHTINCAN[Measure '#],MATCH(AZ44,PMELIGHTINCAN[Measure Validator],0))))))</f>
        <v/>
      </c>
      <c r="BB44" s="689" t="str">
        <f ca="1">IFERROR(IF(OR(C44="",F44="",J44="",L44="",N44="",R44="",X44="",Z44="",AB44="",AF44="",AH44="",AD44=""),"",IF(AND(ISNUMBER(SEARCH("Linear",C44)),OR(ISNUMBER(SEARCH("Yes",M02S02F44)),M02S02F44="")),INDEX(PMELIGHTLIN[Inc Rate Unit FT],MATCH(AZ44,PMELIGHTLIN[Measure Validator],0)),IF(AND(ISNUMBER(SEARCH("Linear",C44)),OR(ISNUMBER(SEARCH("No",M02S02F44)))),INDEX(PMELIGHTLIN[Inc Rate Unit PA],MATCH(AZ44,PMELIGHTLIN[Measure Validator],0)),IF(OR(C44="Metal Halide",C44="Pulse Start Metal Halide",C44="HP Sodium",C44="Mercury Vapor"),INDEX(PMELIGHTHID[Inc Rate Unit],MATCH(AZ44,PMELIGHTHID[Measure Validator],0)),IF(OR(C44="Incandescent",C44="Halogen",C44="Exit Sign"),INDEX(PMELIGHTINCAN[Inc Rate Unit],MATCH(AZ44,PMELIGHTINCAN[Measure Validator],0)))))))*IF(AND(ISNUMBER(SEARCH("NO",M02S02F44)),M02S02F43&lt;=DATEVALUE("12/31/2021"),TODAY()&lt;=LIGHTING2021,OR(C44="Metal Halide",C44="Pulse Start Metal Halide",C44="HP Sodium",C44="Mercury Vapor",ISNUMBER(SEARCH("Linear",C44)))),LIGHTRATE21,1),"")</f>
        <v/>
      </c>
      <c r="BC44" s="689">
        <f>IFERROR(ROUND(IF(BA44="","",IF(OR(ISNUMBER(SEARCH("Yes",M02S02F44)),M02S02F44=""),IF(AND(L44&gt;=Z44,ISNUMBER(SEARCH("Type",N44))),BB44*(Z44*V44)*LEFT(INDEX(CMLIGHTBASE[Measure Subgroup 1], MATCH(F44,CMLIGHTBASE[Base Desc 1],0)),1),IF(AND(L44&lt;Z44,ISNUMBER(SEARCH("Type",N44))),BB44*(V44*L44)*LEFT(INDEX(CMLIGHTBASE[Measure Subgroup 1], MATCH(F44,CMLIGHTBASE[Base Desc 1],0)),1),0)),IF(ISNUMBER(SEARCH("Type",N44)),(AX44-AY44)*BB44,0))),2),0)</f>
        <v>0</v>
      </c>
      <c r="BD44" s="689" t="str">
        <f t="shared" ref="BD44" si="74">IFERROR((IF(BA44="","",IF(ISNUMBER(SEARCH("Type",N44)),0,IF(OR(C44="Incandescent",C44="Halogen",C44="Exit Sign"),Z44*BB44,IF(L44&gt;=Z44,((Z44*J44)-(Z44*X44)),((L44*J44)-(Z44*X44)))*BB44)))),0)</f>
        <v/>
      </c>
      <c r="BE44" s="685"/>
      <c r="BF44" s="683">
        <f t="shared" ref="BF44" si="75">IFERROR(ROUND(BH44*1.1,2),0)</f>
        <v>0</v>
      </c>
      <c r="BG44" s="654" t="str">
        <f>IF(OR(C44="",F44="",J44="",L44="",N44="",R44="",X44="",Z44="",AB44="",AF44="",AH44="",AD44=""),"",IF(BI44&lt;&gt;"",BI44,ROUND(BF44*BONUSADJ,2)))</f>
        <v/>
      </c>
      <c r="BH44" s="654" t="str">
        <f t="shared" si="3"/>
        <v/>
      </c>
      <c r="BI44" s="684" t="str">
        <f t="shared" ref="BI44" si="76">IF(OR(C44="",F44="",J44="",L44="",N44="",R44="",X44="",Z44="",AB44="",AF44="",AH44="",AD44=""),"",IFERROR(IF(Z44&lt;&gt;L44,"One-for-One Replacement Only",IF(((J44*L44)-(X44*Z44))&lt;=0,"No Savings",IF((AX44-AY44)&lt;=0,"No Incentive",IF(AND(ISNUMBER(SEARCH("Linear",C44)),AD44&lt;50000),"Lamp Life Too Short","")))),"Submit for Review"))</f>
        <v/>
      </c>
      <c r="BJ44" s="654" t="str">
        <f t="shared" ref="BJ44" si="77">IF(OR(C44="",F44="",J44="",L44="",N44="",R44="",X44="",Z44="",AB44="",AF44="",AH44="",AD44=""),"",IF(BI44&lt;&gt;"",BI44,MIN(IF(ISNUMBER(SEARCH("Type",N44)),BC44,BD44),AT44)))</f>
        <v/>
      </c>
      <c r="BM44" s="650" t="str">
        <f>IF(OR(C44="",F44="",J44="",L44="",N44="",R44="",X44="",Z44="",AB44="",AF44="",AH44="",AD44=""),"",IFERROR(IF(BN42&lt;SBDICAP,"SBDI","Standard"),""))</f>
        <v/>
      </c>
      <c r="BN44" s="655">
        <f>SUMIF($BM$32:BM43,"=SBDI",$BQ$32:BQ43)+IF(BM44="SBDI",BQ44,0)</f>
        <v>0</v>
      </c>
      <c r="BO44" s="655">
        <f t="shared" ref="BO44" ca="1" si="78">IFERROR(IF(AND(BM44="SBDI",BB44*(AX44-AY44)&gt;BT44),(BB44*(AX44-AY44))-BT44,IF(AND(BM44="Standard",BB44*(AX44-AY44)&gt;BP44),(BB44*(AX44-AY44))-BP44,0)),0)</f>
        <v>0</v>
      </c>
      <c r="BP44" s="655" t="str">
        <f>IF(OR(C44="",F44="",J44="",L44="",N44="",R44="",X44="",Z44="",AB44="",AF44="",AH44="",AD44=""),"",ROUND(MIN(AT44,IF(ISNUMBER(SEARCH("Linear",C44)),INDEX(PMELIGHTLIN[Inc Rate Unit PA],MATCH(AZ44,PMELIGHTLIN[Measure Validator],0))*(AX44-AY44),IF(ISNUMBER(SEARCH("Exit",C44)),INDEX(PMELIGHTINCAN[Inc Rate Unit],MATCH(AZ44,PMELIGHTINCAN[Measure Validator],0))*Z44,INDEX(PMELIGHTHID[Inc Rate Unit],MATCH(AZ44,PMELIGHTHID[Measure Validator],0))*(AX44-AY44)))),2))</f>
        <v/>
      </c>
      <c r="BQ44" s="655" t="str">
        <f>IF(OR(C44="",F44="",J44="",L44="",N44="",R44="",X44="",Z44="",AB44="",AF44="",AH44="",AD44=""),"",
IF(AND(BM44="SBDI",ISNUMBER(SEARCH("Linear",C44))),ROUND(MIN(AT44,INDEX(PMELIGHTLIN[Inc Rate SBDI],MATCH(AZ44,PMELIGHTLIN[Measure Validator],0))*(AX44-AY44),SBDICAP-BN42),2),
IF(AND(BM44="SBDI",ISNUMBER(SEARCH("Exit",C44))),ROUND(MIN(AT44,INDEX(PMELIGHTINCAN[Inc Rate SBDI],MATCH(AZ44,PMELIGHTINCAN[Measure Validator],0))*Z44,SBDICAP-BN42),2),
IF(AND(BM44="SBDI",OR(ISNUMBER(SEARCH("Sodium",C44)),ISNUMBER(SEARCH("Vapor",C44)),ISNUMBER(SEARCH("Halide",C44)),ISNUMBER(SEARCH("Linear",C44)))),ROUND(MIN(AT44,INDEX(PMELIGHTHID[Inc Rate SBDI],MATCH(AZ44,PMELIGHTHID[Measure Validator],0))*(AX44-AY44),SBDICAP-BN42),2),
IF(AND(BM44="Standard",ISNUMBER(SEARCH("Linear",C44))),ROUND(MIN(AT44,INDEX(PMELIGHTLIN[Inc Rate Unit PA],MATCH(AZ44,PMELIGHTLIN[Measure Validator],0))*(AX44-AY44)),2),
IF(AND(BM44="Standard",ISNUMBER(SEARCH("Exit",C44))),ROUND(MIN(AT44,INDEX(PMELIGHTINCAN[Inc Rate Unit],MATCH(AZ44,PMELIGHTINCAN[Measure Validator],0))*Z44),2),
IF(AND(BM44="Standard",OR(ISNUMBER(SEARCH("Sodium",C44)),ISNUMBER(SEARCH("Vapor",C44)),ISNUMBER(SEARCH("Halide",C44)),ISNUMBER(SEARCH("Linear",C44)))),ROUND(MIN(AT44,INDEX(PMELIGHTHID[Inc Rate Unit],MATCH(AZ44,PMELIGHTHID[Measure Validator],0))*(AX44-AY44)),2))))))))</f>
        <v/>
      </c>
      <c r="BR44" s="656">
        <f>IF(AND(BM44="SBDI",BN44&gt;=SBDICAP),
IF(ISNUMBER(SEARCH("Linear",C44)),ROUNDUP((((INDEX(PMELIGHTLIN[Inc Rate SBDI],MATCH(AZ44,PMELIGHTLIN[Measure Validator],0))*(AX44-AY44)-BQ44))/BB44),0),
IF(ISNUMBER(SEARCH("Exit",C44)),ROUNDUP((((INDEX(PMELIGHTINCAN[Inc Rate SBDI],MATCH(AZ44,PMELIGHTLIN[Measure Validator],0))*(Z44)-BQ44))/BB44),0),
ROUNDUP((((INDEX(PMELIGHTHID[Inc Rate SBDI],MATCH(AZ44,PMELIGHTHID[Measure Validator],0))*(AX44-AY44)-BQ44))/BB44),0))),0)</f>
        <v>0</v>
      </c>
      <c r="BS44" s="650">
        <f>IFERROR(IF(ISNUMBER(SEARCH("Linear",C44)),
IF(MIN(INDEX(PMELIGHTLIN[Inc Rate Unit PA],MATCH(AZ44,PMELIGHTLIN[Measure Validator],0))*BR44,AT44-BT44)&lt;0,0,MIN(INDEX(PMELIGHTLIN[Inc Rate Unit PA],MATCH(AZ44,PMELIGHTLIN[Measure Validator],0))*BR44,AT44-BT44)),
IF(ISNUMBER(SEARCH("Exit",C44)),
IF(MIN(INDEX(PMELIGHTINCAN[Inc Rate Unit],MATCH(AZ44,PMELIGHTINCAN[Measure Validator],0))*BR44,AT44-BT44)&lt;0,0,MIN(INDEX(PMELIGHTINCAN[Inc Rate Unit],MATCH(AZ44,PMELIGHTINCAN[Measure Validator],0))*BR44,AT44-BT44)),
IF(MIN(INDEX(PMELIGHTHID[Inc Rate Unit],MATCH(AZ44,PMELIGHTHID[Measure Validator],0))*BR44,AT44-BT44)&lt;0,0,MIN(INDEX(PMELIGHTHID[Inc Rate Unit],MATCH(AZ44,PMELIGHTHID[Measure Validator],0))*BR44,AT44-BT44)))),0)</f>
        <v>0</v>
      </c>
      <c r="BT44" s="650" t="str">
        <f t="shared" ref="BT44" si="79">IF(BR44=0,BQ44,
IF(ISNUMBER(SEARCH("Exit",C44)),Z44-BR44*BB44,((AX44-AY44)-BR44)*BB44))</f>
        <v/>
      </c>
      <c r="BU44" s="650">
        <f>ROUND(SUMIF($BM$32:BM42,"=SBDI",$BT$32:BT43),2)+IF(BM44="SBDI",BT44,0)</f>
        <v>0</v>
      </c>
      <c r="BV44" s="650" t="str">
        <f t="shared" ref="BV44" si="80">IF(AND(BM44="SBDI",BR44&lt;&gt;0),BS44+BT44,
IF(AND(BM44="SBDI",BR44=0),BQ44,BP44))</f>
        <v/>
      </c>
    </row>
    <row r="45" spans="2:74" ht="15.95" customHeight="1" x14ac:dyDescent="0.25">
      <c r="B45" s="698"/>
      <c r="C45" s="706"/>
      <c r="D45" s="707"/>
      <c r="E45" s="708"/>
      <c r="F45" s="710"/>
      <c r="G45" s="707"/>
      <c r="H45" s="707"/>
      <c r="I45" s="707"/>
      <c r="J45" s="700"/>
      <c r="K45" s="693"/>
      <c r="L45" s="692"/>
      <c r="M45" s="700"/>
      <c r="N45" s="706"/>
      <c r="O45" s="707"/>
      <c r="P45" s="707"/>
      <c r="Q45" s="708"/>
      <c r="R45" s="710"/>
      <c r="S45" s="707"/>
      <c r="T45" s="707"/>
      <c r="U45" s="708"/>
      <c r="V45" s="692"/>
      <c r="W45" s="693"/>
      <c r="X45" s="692"/>
      <c r="Y45" s="693"/>
      <c r="Z45" s="692"/>
      <c r="AA45" s="693"/>
      <c r="AB45" s="692"/>
      <c r="AC45" s="693"/>
      <c r="AD45" s="692"/>
      <c r="AE45" s="693"/>
      <c r="AF45" s="663"/>
      <c r="AG45" s="682"/>
      <c r="AH45" s="663"/>
      <c r="AI45" s="664"/>
      <c r="AJ45" s="668"/>
      <c r="AK45" s="669"/>
      <c r="AL45" s="669"/>
      <c r="AM45" s="670"/>
      <c r="AN45" s="674"/>
      <c r="AO45" s="675"/>
      <c r="AP45" s="675"/>
      <c r="AQ45" s="676"/>
      <c r="AR45" s="448"/>
      <c r="AT45" s="686"/>
      <c r="AU45" s="685"/>
      <c r="AV45" s="660"/>
      <c r="AW45" s="660"/>
      <c r="AX45" s="688"/>
      <c r="AY45" s="689"/>
      <c r="AZ45" s="689"/>
      <c r="BA45" s="689"/>
      <c r="BB45" s="689"/>
      <c r="BC45" s="689"/>
      <c r="BD45" s="689"/>
      <c r="BE45" s="685"/>
      <c r="BF45" s="683"/>
      <c r="BG45" s="654"/>
      <c r="BH45" s="654"/>
      <c r="BI45" s="685"/>
      <c r="BJ45" s="654"/>
      <c r="BM45" s="651"/>
      <c r="BN45" s="650"/>
      <c r="BO45" s="650"/>
      <c r="BP45" s="650"/>
      <c r="BQ45" s="650"/>
      <c r="BR45" s="657"/>
      <c r="BS45" s="651"/>
      <c r="BT45" s="651"/>
      <c r="BU45" s="651"/>
      <c r="BV45" s="651"/>
    </row>
    <row r="46" spans="2:74" ht="15.95" customHeight="1" x14ac:dyDescent="0.25">
      <c r="B46" s="698">
        <v>8</v>
      </c>
      <c r="C46" s="703"/>
      <c r="D46" s="704"/>
      <c r="E46" s="705"/>
      <c r="F46" s="709"/>
      <c r="G46" s="704"/>
      <c r="H46" s="704"/>
      <c r="I46" s="704"/>
      <c r="J46" s="699" t="str">
        <f>IF(OR(C46="Halogen",C46="Incandescent",C46="Exit Sign",F46=""),"",INDEX(CMLIGHTBASE[Base Watt 1],MATCH(F46,CMLIGHTBASE[Base Desc 1],0)))</f>
        <v/>
      </c>
      <c r="K46" s="691"/>
      <c r="L46" s="690"/>
      <c r="M46" s="699"/>
      <c r="N46" s="703"/>
      <c r="O46" s="704"/>
      <c r="P46" s="704"/>
      <c r="Q46" s="705"/>
      <c r="R46" s="709"/>
      <c r="S46" s="704"/>
      <c r="T46" s="704"/>
      <c r="U46" s="705"/>
      <c r="V46" s="690" t="str">
        <f t="shared" ref="V46" si="81">IF(N46="","",IF(ISNUMBER(SEARCH("Type",N46)),"","N/A"))</f>
        <v/>
      </c>
      <c r="W46" s="691"/>
      <c r="X46" s="690"/>
      <c r="Y46" s="691"/>
      <c r="Z46" s="690"/>
      <c r="AA46" s="691"/>
      <c r="AB46" s="690" t="str">
        <f t="shared" ref="AB46" si="82">IF(C46="Exit Sign", 8760,"")</f>
        <v/>
      </c>
      <c r="AC46" s="691"/>
      <c r="AD46" s="690"/>
      <c r="AE46" s="691"/>
      <c r="AF46" s="661"/>
      <c r="AG46" s="681"/>
      <c r="AH46" s="661"/>
      <c r="AI46" s="662"/>
      <c r="AJ46" s="665" t="str">
        <f>IF(OR(C46="",F46="",J46="",L46="",N46="",R46="",X46="",Z46="",AB46="",AF46="",AH46="",AD46=""),"",IFERROR(ROUND(IF((AV46-AW46)&lt;=0,0,IF(M02S02F32&lt;&gt;"",INDEX(SPACEHEAT[HIF],MATCH(M02S02F32,SHEAT,0))*(AV46-AW46),(AV46-AW46))),0),""))</f>
        <v/>
      </c>
      <c r="AK46" s="666"/>
      <c r="AL46" s="666"/>
      <c r="AM46" s="667"/>
      <c r="AN46" s="671" t="str">
        <f t="shared" ref="AN46" si="83">BH46</f>
        <v/>
      </c>
      <c r="AO46" s="672"/>
      <c r="AP46" s="672"/>
      <c r="AQ46" s="673"/>
      <c r="AR46" s="448"/>
      <c r="AT46" s="686" t="str">
        <f t="shared" ref="AT46" si="84">IF(OR(C46="",F46="",J46="",L46="",N46="",R46="",X46="",Z46="",AB46="",AF46="",AH46="",AD46=""),"",(ROUND((AF46+AH46)*Z46,2)))</f>
        <v/>
      </c>
      <c r="AU46" s="685" t="str">
        <f>IF(OR(C46="",F46="",J46="",L46="",N46="",R46="",X46="",Z46="",AB46="",AF46="",AH46="",AD46=""),"",ROUND(AJ46*INDEX(ENDUSEALL[Factor],MATCH("Lighting",ENDUSEALL[End Use to Coincident Peak Demand Factors],0)),4))</f>
        <v/>
      </c>
      <c r="AV46" s="660" t="str">
        <f t="shared" ref="AV46" si="85">IF(OR(C46="",F46="",J46="",L46="",N46="",R46="",X46="",Z46="",AB46="",AF46="",AH46="",AD46=""),"",IF(C46="Incandescent",ROUND(0.24*J46*L46*AB46/1000,0),
IF(C46="Halogen",ROUND(0.34*J46*L46*AB46/1000,0),ROUND(L46*AB46*J46/1000,0))))</f>
        <v/>
      </c>
      <c r="AW46" s="660" t="str">
        <f t="shared" ref="AW46" si="86">IF(OR(C46="",F46="",J46="",L46="",N46="",R46="",X46="",Z46="",AB46="",AF46="",AH46="",AD46=""),"",IF(ISNUMBER(SEARCH("Network",N46)),ROUND(0.76*AB46*Z46*X46/1000,0),ROUND(X46*AB46*Z46/1000,0)))</f>
        <v/>
      </c>
      <c r="AX46" s="687" t="str">
        <f>IF(OR(C46="",F46="",J46="",L46="",N46="",R46="",X46="",Z46="",AB46="",AF46="",AH46="",AD46=""),"",
IF(AND(L46&gt;=Z46,ISNUMBER(SEARCH("Type",N46))),ROUND(Z46*LEFT(INDEX(CMLIGHTBASE[Measure Subgroup 2], MATCH(F46,CMLIGHTBASE[Base Desc 1],0)),2)*J46/LEFT(INDEX(CMLIGHTBASE[Measure Subgroup 2], MATCH(F46,CMLIGHTBASE[Base Desc 1],0)),2),0),
IF(AND(L46&lt;Z46,ISNUMBER(SEARCH("Type",N46))),ROUND(L46*LEFT(INDEX(CMLIGHTBASE[Measure Subgroup 2], MATCH(F46,CMLIGHTBASE[Base Desc 1],0)),2)*J46/LEFT(INDEX(CMLIGHTBASE[Measure Subgroup 2], MATCH(F46,CMLIGHTBASE[Base Desc 1],0)),2),0),
IF(AND(OR(ISNUMBER(SEARCH("Fixture",N46)),ISNUMBER(SEARCH("Kit",N46))),L46&gt;=Z46,ISNUMBER(SEARCH("Linear",C46))),Z46*J46,
IF(C46="Incandescent",0.24*J46*L46,IF(C46="Halogen",0.34*J46*L46,L46*J46))))))</f>
        <v/>
      </c>
      <c r="AY46" s="689" t="str">
        <f>IF(OR(C46="",F46="",J46="",L46="",N46="",R46="",X46="",Z46="",AB46="",AF46="",AH46="",AD46=""),"",IF(AND(L46&gt;=Z46,ISNUMBER(SEARCH("Type",N46))),ROUND(Z46*LEFT(INDEX(CMLIGHTBASE[Measure Subgroup 2], MATCH(F46,CMLIGHTBASE[Base Desc 1],0)),2)*X46/V46,0),IF(AND(L46&lt;Z46,ISNUMBER(SEARCH("Type",N46))),ROUND(L46*LEFT(INDEX(CMLIGHTBASE[Measure Subgroup 2], MATCH(F46,CMLIGHTBASE[Base Desc 1],0)),2)*X46/V46,0),IF(OR(ISNUMBER(SEARCH("Fixture",N46)),ISNUMBER(SEARCH("Kit",N46))),Z46*X46,Z46*X46))))</f>
        <v/>
      </c>
      <c r="AZ46" s="689" t="str">
        <f t="shared" ref="AZ46" si="87">IF(OR(C46="Incandescent",C46="Halogen",C46="Exit Sign"),CONCATENATE(C46,"-",F46),IF(C46="Pulse Start Metal Halide",CONCATENATE("Metal Halide-",N46),CONCATENATE(C46,"-",N46)))</f>
        <v>-</v>
      </c>
      <c r="BA46" s="689" t="str">
        <f>IF(OR(C46="",F46="",J46="",L46="",N46="",R46="",X46="",Z46="",AB46="",AF46="",AH46="",AD46=""),"",
IF(ISNUMBER(SEARCH("Linear",C46)),INDEX(PMELIGHTLIN[Measure '#],MATCH(AZ46,PMELIGHTLIN[Measure Validator],0)),
IF(OR(C46="Metal Halide",C46="Pulse Start Metal Halide",C46="HP Sodium",C46="Mercury Vapor"),INDEX(PMELIGHTHID[Measure '#],MATCH(AZ46,PMELIGHTHID[Measure Validator],0)),
IF(OR(C46="Incandescent",C46="Halogen",C46="Exit Sign"),INDEX(PMELIGHTINCAN[Measure '#],MATCH(AZ46,PMELIGHTINCAN[Measure Validator],0))))))</f>
        <v/>
      </c>
      <c r="BB46" s="689" t="str">
        <f ca="1">IFERROR(IF(OR(C46="",F46="",J46="",L46="",N46="",R46="",X46="",Z46="",AB46="",AF46="",AH46="",AD46=""),"",IF(AND(ISNUMBER(SEARCH("Linear",C46)),OR(ISNUMBER(SEARCH("Yes",M02S02F44)),M02S02F44="")),INDEX(PMELIGHTLIN[Inc Rate Unit FT],MATCH(AZ46,PMELIGHTLIN[Measure Validator],0)),IF(AND(ISNUMBER(SEARCH("Linear",C46)),OR(ISNUMBER(SEARCH("No",M02S02F44)))),INDEX(PMELIGHTLIN[Inc Rate Unit PA],MATCH(AZ46,PMELIGHTLIN[Measure Validator],0)),IF(OR(C46="Metal Halide",C46="Pulse Start Metal Halide",C46="HP Sodium",C46="Mercury Vapor"),INDEX(PMELIGHTHID[Inc Rate Unit],MATCH(AZ46,PMELIGHTHID[Measure Validator],0)),IF(OR(C46="Incandescent",C46="Halogen",C46="Exit Sign"),INDEX(PMELIGHTINCAN[Inc Rate Unit],MATCH(AZ46,PMELIGHTINCAN[Measure Validator],0)))))))*IF(AND(ISNUMBER(SEARCH("NO",M02S02F44)),M02S02F43&lt;=DATEVALUE("12/31/2021"),TODAY()&lt;=LIGHTING2021,OR(C46="Metal Halide",C46="Pulse Start Metal Halide",C46="HP Sodium",C46="Mercury Vapor",ISNUMBER(SEARCH("Linear",C46)))),LIGHTRATE21,1),"")</f>
        <v/>
      </c>
      <c r="BC46" s="689">
        <f>IFERROR(ROUND(IF(BA46="","",IF(OR(ISNUMBER(SEARCH("Yes",M02S02F44)),M02S02F44=""),IF(AND(L46&gt;=Z46,ISNUMBER(SEARCH("Type",N46))),BB46*(Z46*V46)*LEFT(INDEX(CMLIGHTBASE[Measure Subgroup 1], MATCH(F46,CMLIGHTBASE[Base Desc 1],0)),1),IF(AND(L46&lt;Z46,ISNUMBER(SEARCH("Type",N46))),BB46*(V46*L46)*LEFT(INDEX(CMLIGHTBASE[Measure Subgroup 1], MATCH(F46,CMLIGHTBASE[Base Desc 1],0)),1),0)),IF(ISNUMBER(SEARCH("Type",N46)),(AX46-AY46)*BB46,0))),2),0)</f>
        <v>0</v>
      </c>
      <c r="BD46" s="689" t="str">
        <f t="shared" ref="BD46" si="88">IFERROR((IF(BA46="","",IF(ISNUMBER(SEARCH("Type",N46)),0,IF(OR(C46="Incandescent",C46="Halogen",C46="Exit Sign"),Z46*BB46,IF(L46&gt;=Z46,((Z46*J46)-(Z46*X46)),((L46*J46)-(Z46*X46)))*BB46)))),0)</f>
        <v/>
      </c>
      <c r="BE46" s="685"/>
      <c r="BF46" s="683">
        <f t="shared" ref="BF46" si="89">IFERROR(ROUND(BH46*1.1,2),0)</f>
        <v>0</v>
      </c>
      <c r="BG46" s="654" t="str">
        <f>IF(OR(C46="",F46="",J46="",L46="",N46="",R46="",X46="",Z46="",AB46="",AF46="",AH46="",AD46=""),"",IF(BI46&lt;&gt;"",BI46,ROUND(BF46*BONUSADJ,2)))</f>
        <v/>
      </c>
      <c r="BH46" s="654" t="str">
        <f t="shared" si="3"/>
        <v/>
      </c>
      <c r="BI46" s="684" t="str">
        <f t="shared" ref="BI46" si="90">IF(OR(C46="",F46="",J46="",L46="",N46="",R46="",X46="",Z46="",AB46="",AF46="",AH46="",AD46=""),"",IFERROR(IF(Z46&lt;&gt;L46,"One-for-One Replacement Only",IF(((J46*L46)-(X46*Z46))&lt;=0,"No Savings",IF((AX46-AY46)&lt;=0,"No Incentive",IF(AND(ISNUMBER(SEARCH("Linear",C46)),AD46&lt;50000),"Lamp Life Too Short","")))),"Submit for Review"))</f>
        <v/>
      </c>
      <c r="BJ46" s="654" t="str">
        <f t="shared" ref="BJ46" si="91">IF(OR(C46="",F46="",J46="",L46="",N46="",R46="",X46="",Z46="",AB46="",AF46="",AH46="",AD46=""),"",IF(BI46&lt;&gt;"",BI46,MIN(IF(ISNUMBER(SEARCH("Type",N46)),BC46,BD46),AT46)))</f>
        <v/>
      </c>
      <c r="BM46" s="650" t="str">
        <f>IF(OR(C46="",F46="",J46="",L46="",N46="",R46="",X46="",Z46="",AB46="",AF46="",AH46="",AD46=""),"",IFERROR(IF(BN44&lt;SBDICAP,"SBDI","Standard"),""))</f>
        <v/>
      </c>
      <c r="BN46" s="655">
        <f>SUMIF($BM$32:BM45,"=SBDI",$BQ$32:BQ45)+IF(BM46="SBDI",BQ46,0)</f>
        <v>0</v>
      </c>
      <c r="BO46" s="655">
        <f t="shared" ref="BO46" ca="1" si="92">IFERROR(IF(AND(BM46="SBDI",BB46*(AX46-AY46)&gt;BT46),(BB46*(AX46-AY46))-BT46,IF(AND(BM46="Standard",BB46*(AX46-AY46)&gt;BP46),(BB46*(AX46-AY46))-BP46,0)),0)</f>
        <v>0</v>
      </c>
      <c r="BP46" s="655" t="str">
        <f>IF(OR(C46="",F46="",J46="",L46="",N46="",R46="",X46="",Z46="",AB46="",AF46="",AH46="",AD46=""),"",ROUND(MIN(AT46,IF(ISNUMBER(SEARCH("Linear",C46)),INDEX(PMELIGHTLIN[Inc Rate Unit PA],MATCH(AZ46,PMELIGHTLIN[Measure Validator],0))*(AX46-AY46),IF(ISNUMBER(SEARCH("Exit",C46)),INDEX(PMELIGHTINCAN[Inc Rate Unit],MATCH(AZ46,PMELIGHTINCAN[Measure Validator],0))*Z46,INDEX(PMELIGHTHID[Inc Rate Unit],MATCH(AZ46,PMELIGHTHID[Measure Validator],0))*(AX46-AY46)))),2))</f>
        <v/>
      </c>
      <c r="BQ46" s="655" t="str">
        <f>IF(OR(C46="",F46="",J46="",L46="",N46="",R46="",X46="",Z46="",AB46="",AF46="",AH46="",AD46=""),"",
IF(AND(BM46="SBDI",ISNUMBER(SEARCH("Linear",C46))),ROUND(MIN(AT46,INDEX(PMELIGHTLIN[Inc Rate SBDI],MATCH(AZ46,PMELIGHTLIN[Measure Validator],0))*(AX46-AY46),SBDICAP-BN44),2),
IF(AND(BM46="SBDI",ISNUMBER(SEARCH("Exit",C46))),ROUND(MIN(AT46,INDEX(PMELIGHTINCAN[Inc Rate SBDI],MATCH(AZ46,PMELIGHTINCAN[Measure Validator],0))*Z46,SBDICAP-BN44),2),
IF(AND(BM46="SBDI",OR(ISNUMBER(SEARCH("Sodium",C46)),ISNUMBER(SEARCH("Vapor",C46)),ISNUMBER(SEARCH("Halide",C46)),ISNUMBER(SEARCH("Linear",C46)))),ROUND(MIN(AT46,INDEX(PMELIGHTHID[Inc Rate SBDI],MATCH(AZ46,PMELIGHTHID[Measure Validator],0))*(AX46-AY46),SBDICAP-BN44),2),
IF(AND(BM46="Standard",ISNUMBER(SEARCH("Linear",C46))),ROUND(MIN(AT46,INDEX(PMELIGHTLIN[Inc Rate Unit PA],MATCH(AZ46,PMELIGHTLIN[Measure Validator],0))*(AX46-AY46)),2),
IF(AND(BM46="Standard",ISNUMBER(SEARCH("Exit",C46))),ROUND(MIN(AT46,INDEX(PMELIGHTINCAN[Inc Rate Unit],MATCH(AZ46,PMELIGHTINCAN[Measure Validator],0))*Z46),2),
IF(AND(BM46="Standard",OR(ISNUMBER(SEARCH("Sodium",C46)),ISNUMBER(SEARCH("Vapor",C46)),ISNUMBER(SEARCH("Halide",C46)),ISNUMBER(SEARCH("Linear",C46)))),ROUND(MIN(AT46,INDEX(PMELIGHTHID[Inc Rate Unit],MATCH(AZ46,PMELIGHTHID[Measure Validator],0))*(AX46-AY46)),2))))))))</f>
        <v/>
      </c>
      <c r="BR46" s="656">
        <f>IF(AND(BM46="SBDI",BN46&gt;=SBDICAP),
IF(ISNUMBER(SEARCH("Linear",C46)),ROUNDUP((((INDEX(PMELIGHTLIN[Inc Rate SBDI],MATCH(AZ46,PMELIGHTLIN[Measure Validator],0))*(AX46-AY46)-BQ46))/BB46),0),
IF(ISNUMBER(SEARCH("Exit",C46)),ROUNDUP((((INDEX(PMELIGHTINCAN[Inc Rate SBDI],MATCH(AZ46,PMELIGHTLIN[Measure Validator],0))*(Z46)-BQ46))/BB46),0),
ROUNDUP((((INDEX(PMELIGHTHID[Inc Rate SBDI],MATCH(AZ46,PMELIGHTHID[Measure Validator],0))*(AX46-AY46)-BQ46))/BB46),0))),0)</f>
        <v>0</v>
      </c>
      <c r="BS46" s="650">
        <f>IFERROR(IF(ISNUMBER(SEARCH("Linear",C46)),
IF(MIN(INDEX(PMELIGHTLIN[Inc Rate Unit PA],MATCH(AZ46,PMELIGHTLIN[Measure Validator],0))*BR46,AT46-BT46)&lt;0,0,MIN(INDEX(PMELIGHTLIN[Inc Rate Unit PA],MATCH(AZ46,PMELIGHTLIN[Measure Validator],0))*BR46,AT46-BT46)),
IF(ISNUMBER(SEARCH("Exit",C46)),
IF(MIN(INDEX(PMELIGHTINCAN[Inc Rate Unit],MATCH(AZ46,PMELIGHTINCAN[Measure Validator],0))*BR46,AT46-BT46)&lt;0,0,MIN(INDEX(PMELIGHTINCAN[Inc Rate Unit],MATCH(AZ46,PMELIGHTINCAN[Measure Validator],0))*BR46,AT46-BT46)),
IF(MIN(INDEX(PMELIGHTHID[Inc Rate Unit],MATCH(AZ46,PMELIGHTHID[Measure Validator],0))*BR46,AT46-BT46)&lt;0,0,MIN(INDEX(PMELIGHTHID[Inc Rate Unit],MATCH(AZ46,PMELIGHTHID[Measure Validator],0))*BR46,AT46-BT46)))),0)</f>
        <v>0</v>
      </c>
      <c r="BT46" s="650" t="str">
        <f t="shared" ref="BT46" si="93">IF(BR46=0,BQ46,
IF(ISNUMBER(SEARCH("Exit",C46)),Z46-BR46*BB46,((AX46-AY46)-BR46)*BB46))</f>
        <v/>
      </c>
      <c r="BU46" s="650">
        <f>ROUND(SUMIF($BM$32:BM44,"=SBDI",$BT$32:BT45),2)+IF(BM46="SBDI",BT46,0)</f>
        <v>0</v>
      </c>
      <c r="BV46" s="650" t="str">
        <f t="shared" ref="BV46" si="94">IF(AND(BM46="SBDI",BR46&lt;&gt;0),BS46+BT46,
IF(AND(BM46="SBDI",BR46=0),BQ46,BP46))</f>
        <v/>
      </c>
    </row>
    <row r="47" spans="2:74" ht="15.95" customHeight="1" x14ac:dyDescent="0.25">
      <c r="B47" s="698"/>
      <c r="C47" s="706"/>
      <c r="D47" s="707"/>
      <c r="E47" s="708"/>
      <c r="F47" s="710"/>
      <c r="G47" s="707"/>
      <c r="H47" s="707"/>
      <c r="I47" s="707"/>
      <c r="J47" s="700"/>
      <c r="K47" s="693"/>
      <c r="L47" s="692"/>
      <c r="M47" s="700"/>
      <c r="N47" s="706"/>
      <c r="O47" s="707"/>
      <c r="P47" s="707"/>
      <c r="Q47" s="708"/>
      <c r="R47" s="710"/>
      <c r="S47" s="707"/>
      <c r="T47" s="707"/>
      <c r="U47" s="708"/>
      <c r="V47" s="692"/>
      <c r="W47" s="693"/>
      <c r="X47" s="692"/>
      <c r="Y47" s="693"/>
      <c r="Z47" s="692"/>
      <c r="AA47" s="693"/>
      <c r="AB47" s="692"/>
      <c r="AC47" s="693"/>
      <c r="AD47" s="692"/>
      <c r="AE47" s="693"/>
      <c r="AF47" s="663"/>
      <c r="AG47" s="682"/>
      <c r="AH47" s="663"/>
      <c r="AI47" s="664"/>
      <c r="AJ47" s="668"/>
      <c r="AK47" s="669"/>
      <c r="AL47" s="669"/>
      <c r="AM47" s="670"/>
      <c r="AN47" s="674"/>
      <c r="AO47" s="675"/>
      <c r="AP47" s="675"/>
      <c r="AQ47" s="676"/>
      <c r="AR47" s="448"/>
      <c r="AT47" s="686"/>
      <c r="AU47" s="685"/>
      <c r="AV47" s="660"/>
      <c r="AW47" s="660"/>
      <c r="AX47" s="688"/>
      <c r="AY47" s="689"/>
      <c r="AZ47" s="689"/>
      <c r="BA47" s="689"/>
      <c r="BB47" s="689"/>
      <c r="BC47" s="689"/>
      <c r="BD47" s="689"/>
      <c r="BE47" s="685"/>
      <c r="BF47" s="683"/>
      <c r="BG47" s="654"/>
      <c r="BH47" s="654"/>
      <c r="BI47" s="685"/>
      <c r="BJ47" s="654"/>
      <c r="BM47" s="651"/>
      <c r="BN47" s="650"/>
      <c r="BO47" s="650"/>
      <c r="BP47" s="650"/>
      <c r="BQ47" s="650"/>
      <c r="BR47" s="657"/>
      <c r="BS47" s="651"/>
      <c r="BT47" s="651"/>
      <c r="BU47" s="651"/>
      <c r="BV47" s="651"/>
    </row>
    <row r="48" spans="2:74" ht="15.95" customHeight="1" x14ac:dyDescent="0.25">
      <c r="B48" s="698">
        <v>9</v>
      </c>
      <c r="C48" s="703"/>
      <c r="D48" s="704"/>
      <c r="E48" s="705"/>
      <c r="F48" s="709"/>
      <c r="G48" s="704"/>
      <c r="H48" s="704"/>
      <c r="I48" s="704"/>
      <c r="J48" s="699" t="str">
        <f>IF(OR(C48="Halogen",C48="Incandescent",C48="Exit Sign",F48=""),"",INDEX(CMLIGHTBASE[Base Watt 1],MATCH(F48,CMLIGHTBASE[Base Desc 1],0)))</f>
        <v/>
      </c>
      <c r="K48" s="691"/>
      <c r="L48" s="690"/>
      <c r="M48" s="699"/>
      <c r="N48" s="703"/>
      <c r="O48" s="704"/>
      <c r="P48" s="704"/>
      <c r="Q48" s="705"/>
      <c r="R48" s="709"/>
      <c r="S48" s="704"/>
      <c r="T48" s="704"/>
      <c r="U48" s="705"/>
      <c r="V48" s="690" t="str">
        <f t="shared" ref="V48" si="95">IF(N48="","",IF(ISNUMBER(SEARCH("Type",N48)),"","N/A"))</f>
        <v/>
      </c>
      <c r="W48" s="691"/>
      <c r="X48" s="690"/>
      <c r="Y48" s="691"/>
      <c r="Z48" s="690"/>
      <c r="AA48" s="691"/>
      <c r="AB48" s="690" t="str">
        <f t="shared" ref="AB48" si="96">IF(C48="Exit Sign", 8760,"")</f>
        <v/>
      </c>
      <c r="AC48" s="691"/>
      <c r="AD48" s="690"/>
      <c r="AE48" s="691"/>
      <c r="AF48" s="661"/>
      <c r="AG48" s="681"/>
      <c r="AH48" s="661"/>
      <c r="AI48" s="662"/>
      <c r="AJ48" s="665" t="str">
        <f>IF(OR(C48="",F48="",J48="",L48="",N48="",R48="",X48="",Z48="",AB48="",AF48="",AH48="",AD48=""),"",IFERROR(ROUND(IF((AV48-AW48)&lt;=0,0,IF(M02S02F32&lt;&gt;"",INDEX(SPACEHEAT[HIF],MATCH(M02S02F32,SHEAT,0))*(AV48-AW48),(AV48-AW48))),0),""))</f>
        <v/>
      </c>
      <c r="AK48" s="666"/>
      <c r="AL48" s="666"/>
      <c r="AM48" s="667"/>
      <c r="AN48" s="671" t="str">
        <f t="shared" ref="AN48" si="97">BH48</f>
        <v/>
      </c>
      <c r="AO48" s="672"/>
      <c r="AP48" s="672"/>
      <c r="AQ48" s="673"/>
      <c r="AR48" s="448"/>
      <c r="AT48" s="686" t="str">
        <f t="shared" ref="AT48" si="98">IF(OR(C48="",F48="",J48="",L48="",N48="",R48="",X48="",Z48="",AB48="",AF48="",AH48="",AD48=""),"",(ROUND((AF48+AH48)*Z48,2)))</f>
        <v/>
      </c>
      <c r="AU48" s="685" t="str">
        <f>IF(OR(C48="",F48="",J48="",L48="",N48="",R48="",X48="",Z48="",AB48="",AF48="",AH48="",AD48=""),"",ROUND(AJ48*INDEX(ENDUSEALL[Factor],MATCH("Lighting",ENDUSEALL[End Use to Coincident Peak Demand Factors],0)),4))</f>
        <v/>
      </c>
      <c r="AV48" s="660" t="str">
        <f t="shared" ref="AV48" si="99">IF(OR(C48="",F48="",J48="",L48="",N48="",R48="",X48="",Z48="",AB48="",AF48="",AH48="",AD48=""),"",IF(C48="Incandescent",ROUND(0.24*J48*L48*AB48/1000,0),
IF(C48="Halogen",ROUND(0.34*J48*L48*AB48/1000,0),ROUND(L48*AB48*J48/1000,0))))</f>
        <v/>
      </c>
      <c r="AW48" s="660" t="str">
        <f t="shared" ref="AW48" si="100">IF(OR(C48="",F48="",J48="",L48="",N48="",R48="",X48="",Z48="",AB48="",AF48="",AH48="",AD48=""),"",IF(ISNUMBER(SEARCH("Network",N48)),ROUND(0.76*AB48*Z48*X48/1000,0),ROUND(X48*AB48*Z48/1000,0)))</f>
        <v/>
      </c>
      <c r="AX48" s="687" t="str">
        <f>IF(OR(C48="",F48="",J48="",L48="",N48="",R48="",X48="",Z48="",AB48="",AF48="",AH48="",AD48=""),"",
IF(AND(L48&gt;=Z48,ISNUMBER(SEARCH("Type",N48))),ROUND(Z48*LEFT(INDEX(CMLIGHTBASE[Measure Subgroup 2], MATCH(F48,CMLIGHTBASE[Base Desc 1],0)),2)*J48/LEFT(INDEX(CMLIGHTBASE[Measure Subgroup 2], MATCH(F48,CMLIGHTBASE[Base Desc 1],0)),2),0),
IF(AND(L48&lt;Z48,ISNUMBER(SEARCH("Type",N48))),ROUND(L48*LEFT(INDEX(CMLIGHTBASE[Measure Subgroup 2], MATCH(F48,CMLIGHTBASE[Base Desc 1],0)),2)*J48/LEFT(INDEX(CMLIGHTBASE[Measure Subgroup 2], MATCH(F48,CMLIGHTBASE[Base Desc 1],0)),2),0),
IF(AND(OR(ISNUMBER(SEARCH("Fixture",N48)),ISNUMBER(SEARCH("Kit",N48))),L48&gt;=Z48,ISNUMBER(SEARCH("Linear",C48))),Z48*J48,
IF(C48="Incandescent",0.24*J48*L48,IF(C48="Halogen",0.34*J48*L48,L48*J48))))))</f>
        <v/>
      </c>
      <c r="AY48" s="689" t="str">
        <f>IF(OR(C48="",F48="",J48="",L48="",N48="",R48="",X48="",Z48="",AB48="",AF48="",AH48="",AD48=""),"",IF(AND(L48&gt;=Z48,ISNUMBER(SEARCH("Type",N48))),ROUND(Z48*LEFT(INDEX(CMLIGHTBASE[Measure Subgroup 2], MATCH(F48,CMLIGHTBASE[Base Desc 1],0)),2)*X48/V48,0),IF(AND(L48&lt;Z48,ISNUMBER(SEARCH("Type",N48))),ROUND(L48*LEFT(INDEX(CMLIGHTBASE[Measure Subgroup 2], MATCH(F48,CMLIGHTBASE[Base Desc 1],0)),2)*X48/V48,0),IF(OR(ISNUMBER(SEARCH("Fixture",N48)),ISNUMBER(SEARCH("Kit",N48))),Z48*X48,Z48*X48))))</f>
        <v/>
      </c>
      <c r="AZ48" s="689" t="str">
        <f t="shared" ref="AZ48" si="101">IF(OR(C48="Incandescent",C48="Halogen",C48="Exit Sign"),CONCATENATE(C48,"-",F48),IF(C48="Pulse Start Metal Halide",CONCATENATE("Metal Halide-",N48),CONCATENATE(C48,"-",N48)))</f>
        <v>-</v>
      </c>
      <c r="BA48" s="689" t="str">
        <f>IF(OR(C48="",F48="",J48="",L48="",N48="",R48="",X48="",Z48="",AB48="",AF48="",AH48="",AD48=""),"",
IF(ISNUMBER(SEARCH("Linear",C48)),INDEX(PMELIGHTLIN[Measure '#],MATCH(AZ48,PMELIGHTLIN[Measure Validator],0)),
IF(OR(C48="Metal Halide",C48="Pulse Start Metal Halide",C48="HP Sodium",C48="Mercury Vapor"),INDEX(PMELIGHTHID[Measure '#],MATCH(AZ48,PMELIGHTHID[Measure Validator],0)),
IF(OR(C48="Incandescent",C48="Halogen",C48="Exit Sign"),INDEX(PMELIGHTINCAN[Measure '#],MATCH(AZ48,PMELIGHTINCAN[Measure Validator],0))))))</f>
        <v/>
      </c>
      <c r="BB48" s="689" t="str">
        <f ca="1">IFERROR(IF(OR(C48="",F48="",J48="",L48="",N48="",R48="",X48="",Z48="",AB48="",AF48="",AH48="",AD48=""),"",IF(AND(ISNUMBER(SEARCH("Linear",C48)),OR(ISNUMBER(SEARCH("Yes",M02S02F44)),M02S02F44="")),INDEX(PMELIGHTLIN[Inc Rate Unit FT],MATCH(AZ48,PMELIGHTLIN[Measure Validator],0)),IF(AND(ISNUMBER(SEARCH("Linear",C48)),OR(ISNUMBER(SEARCH("No",M02S02F44)))),INDEX(PMELIGHTLIN[Inc Rate Unit PA],MATCH(AZ48,PMELIGHTLIN[Measure Validator],0)),IF(OR(C48="Metal Halide",C48="Pulse Start Metal Halide",C48="HP Sodium",C48="Mercury Vapor"),INDEX(PMELIGHTHID[Inc Rate Unit],MATCH(AZ48,PMELIGHTHID[Measure Validator],0)),IF(OR(C48="Incandescent",C48="Halogen",C48="Exit Sign"),INDEX(PMELIGHTINCAN[Inc Rate Unit],MATCH(AZ48,PMELIGHTINCAN[Measure Validator],0)))))))*IF(AND(ISNUMBER(SEARCH("NO",M02S02F44)),M02S02F43&lt;=DATEVALUE("12/31/2021"),TODAY()&lt;=LIGHTING2021,OR(C48="Metal Halide",C48="Pulse Start Metal Halide",C48="HP Sodium",C48="Mercury Vapor",ISNUMBER(SEARCH("Linear",C48)))),LIGHTRATE21,1),"")</f>
        <v/>
      </c>
      <c r="BC48" s="689">
        <f>IFERROR(ROUND(IF(BA48="","",IF(OR(ISNUMBER(SEARCH("Yes",M02S02F44)),M02S02F44=""),IF(AND(L48&gt;=Z48,ISNUMBER(SEARCH("Type",N48))),BB48*(Z48*V48)*LEFT(INDEX(CMLIGHTBASE[Measure Subgroup 1], MATCH(F48,CMLIGHTBASE[Base Desc 1],0)),1),IF(AND(L48&lt;Z48,ISNUMBER(SEARCH("Type",N48))),BB48*(V48*L48)*LEFT(INDEX(CMLIGHTBASE[Measure Subgroup 1], MATCH(F48,CMLIGHTBASE[Base Desc 1],0)),1),0)),IF(ISNUMBER(SEARCH("Type",N48)),(AX48-AY48)*BB48,0))),2),0)</f>
        <v>0</v>
      </c>
      <c r="BD48" s="689" t="str">
        <f t="shared" ref="BD48" si="102">IFERROR((IF(BA48="","",IF(ISNUMBER(SEARCH("Type",N48)),0,IF(OR(C48="Incandescent",C48="Halogen",C48="Exit Sign"),Z48*BB48,IF(L48&gt;=Z48,((Z48*J48)-(Z48*X48)),((L48*J48)-(Z48*X48)))*BB48)))),0)</f>
        <v/>
      </c>
      <c r="BE48" s="685"/>
      <c r="BF48" s="683">
        <f t="shared" ref="BF48" si="103">IFERROR(ROUND(BH48*1.1,2),0)</f>
        <v>0</v>
      </c>
      <c r="BG48" s="654" t="str">
        <f>IF(OR(C48="",F48="",J48="",L48="",N48="",R48="",X48="",Z48="",AB48="",AF48="",AH48="",AD48=""),"",IF(BI48&lt;&gt;"",BI48,ROUND(BF48*BONUSADJ,2)))</f>
        <v/>
      </c>
      <c r="BH48" s="654" t="str">
        <f t="shared" si="3"/>
        <v/>
      </c>
      <c r="BI48" s="684" t="str">
        <f t="shared" ref="BI48" si="104">IF(OR(C48="",F48="",J48="",L48="",N48="",R48="",X48="",Z48="",AB48="",AF48="",AH48="",AD48=""),"",IFERROR(IF(Z48&lt;&gt;L48,"One-for-One Replacement Only",IF(((J48*L48)-(X48*Z48))&lt;=0,"No Savings",IF((AX48-AY48)&lt;=0,"No Incentive",IF(AND(ISNUMBER(SEARCH("Linear",C48)),AD48&lt;50000),"Lamp Life Too Short","")))),"Submit for Review"))</f>
        <v/>
      </c>
      <c r="BJ48" s="654" t="str">
        <f t="shared" ref="BJ48" si="105">IF(OR(C48="",F48="",J48="",L48="",N48="",R48="",X48="",Z48="",AB48="",AF48="",AH48="",AD48=""),"",IF(BI48&lt;&gt;"",BI48,MIN(IF(ISNUMBER(SEARCH("Type",N48)),BC48,BD48),AT48)))</f>
        <v/>
      </c>
      <c r="BM48" s="650" t="str">
        <f>IF(OR(C48="",F48="",J48="",L48="",N48="",R48="",X48="",Z48="",AB48="",AF48="",AH48="",AD48=""),"",IFERROR(IF(BN46&lt;SBDICAP,"SBDI","Standard"),""))</f>
        <v/>
      </c>
      <c r="BN48" s="655">
        <f>SUMIF($BM$32:BM47,"=SBDI",$BQ$32:BQ47)+IF(BM48="SBDI",BQ48,0)</f>
        <v>0</v>
      </c>
      <c r="BO48" s="655">
        <f t="shared" ref="BO48" ca="1" si="106">IFERROR(IF(AND(BM48="SBDI",BB48*(AX48-AY48)&gt;BT48),(BB48*(AX48-AY48))-BT48,IF(AND(BM48="Standard",BB48*(AX48-AY48)&gt;BP48),(BB48*(AX48-AY48))-BP48,0)),0)</f>
        <v>0</v>
      </c>
      <c r="BP48" s="655" t="str">
        <f>IF(OR(C48="",F48="",J48="",L48="",N48="",R48="",X48="",Z48="",AB48="",AF48="",AH48="",AD48=""),"",ROUND(MIN(AT48,IF(ISNUMBER(SEARCH("Linear",C48)),INDEX(PMELIGHTLIN[Inc Rate Unit PA],MATCH(AZ48,PMELIGHTLIN[Measure Validator],0))*(AX48-AY48),IF(ISNUMBER(SEARCH("Exit",C48)),INDEX(PMELIGHTINCAN[Inc Rate Unit],MATCH(AZ48,PMELIGHTINCAN[Measure Validator],0))*Z48,INDEX(PMELIGHTHID[Inc Rate Unit],MATCH(AZ48,PMELIGHTHID[Measure Validator],0))*(AX48-AY48)))),2))</f>
        <v/>
      </c>
      <c r="BQ48" s="655" t="str">
        <f>IF(OR(C48="",F48="",J48="",L48="",N48="",R48="",X48="",Z48="",AB48="",AF48="",AH48="",AD48=""),"",
IF(AND(BM48="SBDI",ISNUMBER(SEARCH("Linear",C48))),ROUND(MIN(AT48,INDEX(PMELIGHTLIN[Inc Rate SBDI],MATCH(AZ48,PMELIGHTLIN[Measure Validator],0))*(AX48-AY48),SBDICAP-BN46),2),
IF(AND(BM48="SBDI",ISNUMBER(SEARCH("Exit",C48))),ROUND(MIN(AT48,INDEX(PMELIGHTINCAN[Inc Rate SBDI],MATCH(AZ48,PMELIGHTINCAN[Measure Validator],0))*Z48,SBDICAP-BN46),2),
IF(AND(BM48="SBDI",OR(ISNUMBER(SEARCH("Sodium",C48)),ISNUMBER(SEARCH("Vapor",C48)),ISNUMBER(SEARCH("Halide",C48)),ISNUMBER(SEARCH("Linear",C48)))),ROUND(MIN(AT48,INDEX(PMELIGHTHID[Inc Rate SBDI],MATCH(AZ48,PMELIGHTHID[Measure Validator],0))*(AX48-AY48),SBDICAP-BN46),2),
IF(AND(BM48="Standard",ISNUMBER(SEARCH("Linear",C48))),ROUND(MIN(AT48,INDEX(PMELIGHTLIN[Inc Rate Unit PA],MATCH(AZ48,PMELIGHTLIN[Measure Validator],0))*(AX48-AY48)),2),
IF(AND(BM48="Standard",ISNUMBER(SEARCH("Exit",C48))),ROUND(MIN(AT48,INDEX(PMELIGHTINCAN[Inc Rate Unit],MATCH(AZ48,PMELIGHTINCAN[Measure Validator],0))*Z48),2),
IF(AND(BM48="Standard",OR(ISNUMBER(SEARCH("Sodium",C48)),ISNUMBER(SEARCH("Vapor",C48)),ISNUMBER(SEARCH("Halide",C48)),ISNUMBER(SEARCH("Linear",C48)))),ROUND(MIN(AT48,INDEX(PMELIGHTHID[Inc Rate Unit],MATCH(AZ48,PMELIGHTHID[Measure Validator],0))*(AX48-AY48)),2))))))))</f>
        <v/>
      </c>
      <c r="BR48" s="656">
        <f>IF(AND(BM48="SBDI",BN48&gt;=SBDICAP),
IF(ISNUMBER(SEARCH("Linear",C48)),ROUNDUP((((INDEX(PMELIGHTLIN[Inc Rate SBDI],MATCH(AZ48,PMELIGHTLIN[Measure Validator],0))*(AX48-AY48)-BQ48))/BB48),0),
IF(ISNUMBER(SEARCH("Exit",C48)),ROUNDUP((((INDEX(PMELIGHTINCAN[Inc Rate SBDI],MATCH(AZ48,PMELIGHTLIN[Measure Validator],0))*(Z48)-BQ48))/BB48),0),
ROUNDUP((((INDEX(PMELIGHTHID[Inc Rate SBDI],MATCH(AZ48,PMELIGHTHID[Measure Validator],0))*(AX48-AY48)-BQ48))/BB48),0))),0)</f>
        <v>0</v>
      </c>
      <c r="BS48" s="650">
        <f>IFERROR(IF(ISNUMBER(SEARCH("Linear",C48)),
IF(MIN(INDEX(PMELIGHTLIN[Inc Rate Unit PA],MATCH(AZ48,PMELIGHTLIN[Measure Validator],0))*BR48,AT48-BT48)&lt;0,0,MIN(INDEX(PMELIGHTLIN[Inc Rate Unit PA],MATCH(AZ48,PMELIGHTLIN[Measure Validator],0))*BR48,AT48-BT48)),
IF(ISNUMBER(SEARCH("Exit",C48)),
IF(MIN(INDEX(PMELIGHTINCAN[Inc Rate Unit],MATCH(AZ48,PMELIGHTINCAN[Measure Validator],0))*BR48,AT48-BT48)&lt;0,0,MIN(INDEX(PMELIGHTINCAN[Inc Rate Unit],MATCH(AZ48,PMELIGHTINCAN[Measure Validator],0))*BR48,AT48-BT48)),
IF(MIN(INDEX(PMELIGHTHID[Inc Rate Unit],MATCH(AZ48,PMELIGHTHID[Measure Validator],0))*BR48,AT48-BT48)&lt;0,0,MIN(INDEX(PMELIGHTHID[Inc Rate Unit],MATCH(AZ48,PMELIGHTHID[Measure Validator],0))*BR48,AT48-BT48)))),0)</f>
        <v>0</v>
      </c>
      <c r="BT48" s="650" t="str">
        <f t="shared" ref="BT48" si="107">IF(BR48=0,BQ48,
IF(ISNUMBER(SEARCH("Exit",C48)),Z48-BR48*BB48,((AX48-AY48)-BR48)*BB48))</f>
        <v/>
      </c>
      <c r="BU48" s="650">
        <f>ROUND(SUMIF($BM$32:BM46,"=SBDI",$BT$32:BT47),2)+IF(BM48="SBDI",BT48,0)</f>
        <v>0</v>
      </c>
      <c r="BV48" s="650" t="str">
        <f t="shared" ref="BV48" si="108">IF(AND(BM48="SBDI",BR48&lt;&gt;0),BS48+BT48,
IF(AND(BM48="SBDI",BR48=0),BQ48,BP48))</f>
        <v/>
      </c>
    </row>
    <row r="49" spans="2:74" ht="15.95" customHeight="1" x14ac:dyDescent="0.25">
      <c r="B49" s="698"/>
      <c r="C49" s="706"/>
      <c r="D49" s="707"/>
      <c r="E49" s="708"/>
      <c r="F49" s="710"/>
      <c r="G49" s="707"/>
      <c r="H49" s="707"/>
      <c r="I49" s="707"/>
      <c r="J49" s="700"/>
      <c r="K49" s="693"/>
      <c r="L49" s="692"/>
      <c r="M49" s="700"/>
      <c r="N49" s="706"/>
      <c r="O49" s="707"/>
      <c r="P49" s="707"/>
      <c r="Q49" s="708"/>
      <c r="R49" s="710"/>
      <c r="S49" s="707"/>
      <c r="T49" s="707"/>
      <c r="U49" s="708"/>
      <c r="V49" s="692"/>
      <c r="W49" s="693"/>
      <c r="X49" s="692"/>
      <c r="Y49" s="693"/>
      <c r="Z49" s="692"/>
      <c r="AA49" s="693"/>
      <c r="AB49" s="692"/>
      <c r="AC49" s="693"/>
      <c r="AD49" s="692"/>
      <c r="AE49" s="693"/>
      <c r="AF49" s="663"/>
      <c r="AG49" s="682"/>
      <c r="AH49" s="663"/>
      <c r="AI49" s="664"/>
      <c r="AJ49" s="668"/>
      <c r="AK49" s="669"/>
      <c r="AL49" s="669"/>
      <c r="AM49" s="670"/>
      <c r="AN49" s="674"/>
      <c r="AO49" s="675"/>
      <c r="AP49" s="675"/>
      <c r="AQ49" s="676"/>
      <c r="AR49" s="448"/>
      <c r="AT49" s="686"/>
      <c r="AU49" s="685"/>
      <c r="AV49" s="660"/>
      <c r="AW49" s="660"/>
      <c r="AX49" s="688"/>
      <c r="AY49" s="689"/>
      <c r="AZ49" s="689"/>
      <c r="BA49" s="689"/>
      <c r="BB49" s="689"/>
      <c r="BC49" s="689"/>
      <c r="BD49" s="689"/>
      <c r="BE49" s="685"/>
      <c r="BF49" s="683"/>
      <c r="BG49" s="654"/>
      <c r="BH49" s="654"/>
      <c r="BI49" s="685"/>
      <c r="BJ49" s="654"/>
      <c r="BM49" s="651"/>
      <c r="BN49" s="650"/>
      <c r="BO49" s="650"/>
      <c r="BP49" s="650"/>
      <c r="BQ49" s="650"/>
      <c r="BR49" s="657"/>
      <c r="BS49" s="651"/>
      <c r="BT49" s="651"/>
      <c r="BU49" s="651"/>
      <c r="BV49" s="651"/>
    </row>
    <row r="50" spans="2:74" ht="15.95" customHeight="1" x14ac:dyDescent="0.25">
      <c r="B50" s="698">
        <v>10</v>
      </c>
      <c r="C50" s="703"/>
      <c r="D50" s="704"/>
      <c r="E50" s="705"/>
      <c r="F50" s="709"/>
      <c r="G50" s="704"/>
      <c r="H50" s="704"/>
      <c r="I50" s="704"/>
      <c r="J50" s="699" t="str">
        <f>IF(OR(C50="Halogen",C50="Incandescent",C50="Exit Sign",F50=""),"",INDEX(CMLIGHTBASE[Base Watt 1],MATCH(F50,CMLIGHTBASE[Base Desc 1],0)))</f>
        <v/>
      </c>
      <c r="K50" s="691"/>
      <c r="L50" s="690"/>
      <c r="M50" s="699"/>
      <c r="N50" s="703"/>
      <c r="O50" s="704"/>
      <c r="P50" s="704"/>
      <c r="Q50" s="705"/>
      <c r="R50" s="709"/>
      <c r="S50" s="704"/>
      <c r="T50" s="704"/>
      <c r="U50" s="705"/>
      <c r="V50" s="690" t="str">
        <f t="shared" ref="V50" si="109">IF(N50="","",IF(ISNUMBER(SEARCH("Type",N50)),"","N/A"))</f>
        <v/>
      </c>
      <c r="W50" s="691"/>
      <c r="X50" s="690"/>
      <c r="Y50" s="691"/>
      <c r="Z50" s="690"/>
      <c r="AA50" s="691"/>
      <c r="AB50" s="690" t="str">
        <f t="shared" ref="AB50" si="110">IF(C50="Exit Sign", 8760,"")</f>
        <v/>
      </c>
      <c r="AC50" s="691"/>
      <c r="AD50" s="690"/>
      <c r="AE50" s="691"/>
      <c r="AF50" s="661"/>
      <c r="AG50" s="681"/>
      <c r="AH50" s="661"/>
      <c r="AI50" s="662"/>
      <c r="AJ50" s="665" t="str">
        <f>IF(OR(C50="",F50="",J50="",L50="",N50="",R50="",X50="",Z50="",AB50="",AF50="",AH50="",AD50=""),"",IFERROR(ROUND(IF((AV50-AW50)&lt;=0,0,IF(M02S02F32&lt;&gt;"",INDEX(SPACEHEAT[HIF],MATCH(M02S02F32,SHEAT,0))*(AV50-AW50),(AV50-AW50))),0),""))</f>
        <v/>
      </c>
      <c r="AK50" s="666"/>
      <c r="AL50" s="666"/>
      <c r="AM50" s="667"/>
      <c r="AN50" s="671" t="str">
        <f t="shared" ref="AN50" si="111">BH50</f>
        <v/>
      </c>
      <c r="AO50" s="672"/>
      <c r="AP50" s="672"/>
      <c r="AQ50" s="673"/>
      <c r="AR50" s="448"/>
      <c r="AT50" s="686" t="str">
        <f t="shared" ref="AT50" si="112">IF(OR(C50="",F50="",J50="",L50="",N50="",R50="",X50="",Z50="",AB50="",AF50="",AH50="",AD50=""),"",(ROUND((AF50+AH50)*Z50,2)))</f>
        <v/>
      </c>
      <c r="AU50" s="685" t="str">
        <f>IF(OR(C50="",F50="",J50="",L50="",N50="",R50="",X50="",Z50="",AB50="",AF50="",AH50="",AD50=""),"",ROUND(AJ50*INDEX(ENDUSEALL[Factor],MATCH("Lighting",ENDUSEALL[End Use to Coincident Peak Demand Factors],0)),4))</f>
        <v/>
      </c>
      <c r="AV50" s="660" t="str">
        <f t="shared" ref="AV50" si="113">IF(OR(C50="",F50="",J50="",L50="",N50="",R50="",X50="",Z50="",AB50="",AF50="",AH50="",AD50=""),"",IF(C50="Incandescent",ROUND(0.24*J50*L50*AB50/1000,0),
IF(C50="Halogen",ROUND(0.34*J50*L50*AB50/1000,0),ROUND(L50*AB50*J50/1000,0))))</f>
        <v/>
      </c>
      <c r="AW50" s="660" t="str">
        <f t="shared" ref="AW50" si="114">IF(OR(C50="",F50="",J50="",L50="",N50="",R50="",X50="",Z50="",AB50="",AF50="",AH50="",AD50=""),"",IF(ISNUMBER(SEARCH("Network",N50)),ROUND(0.76*AB50*Z50*X50/1000,0),ROUND(X50*AB50*Z50/1000,0)))</f>
        <v/>
      </c>
      <c r="AX50" s="687" t="str">
        <f>IF(OR(C50="",F50="",J50="",L50="",N50="",R50="",X50="",Z50="",AB50="",AF50="",AH50="",AD50=""),"",
IF(AND(L50&gt;=Z50,ISNUMBER(SEARCH("Type",N50))),ROUND(Z50*LEFT(INDEX(CMLIGHTBASE[Measure Subgroup 2], MATCH(F50,CMLIGHTBASE[Base Desc 1],0)),2)*J50/LEFT(INDEX(CMLIGHTBASE[Measure Subgroup 2], MATCH(F50,CMLIGHTBASE[Base Desc 1],0)),2),0),
IF(AND(L50&lt;Z50,ISNUMBER(SEARCH("Type",N50))),ROUND(L50*LEFT(INDEX(CMLIGHTBASE[Measure Subgroup 2], MATCH(F50,CMLIGHTBASE[Base Desc 1],0)),2)*J50/LEFT(INDEX(CMLIGHTBASE[Measure Subgroup 2], MATCH(F50,CMLIGHTBASE[Base Desc 1],0)),2),0),
IF(AND(OR(ISNUMBER(SEARCH("Fixture",N50)),ISNUMBER(SEARCH("Kit",N50))),L50&gt;=Z50,ISNUMBER(SEARCH("Linear",C50))),Z50*J50,
IF(C50="Incandescent",0.24*J50*L50,IF(C50="Halogen",0.34*J50*L50,L50*J50))))))</f>
        <v/>
      </c>
      <c r="AY50" s="689" t="str">
        <f>IF(OR(C50="",F50="",J50="",L50="",N50="",R50="",X50="",Z50="",AB50="",AF50="",AH50="",AD50=""),"",IF(AND(L50&gt;=Z50,ISNUMBER(SEARCH("Type",N50))),ROUND(Z50*LEFT(INDEX(CMLIGHTBASE[Measure Subgroup 2], MATCH(F50,CMLIGHTBASE[Base Desc 1],0)),2)*X50/V50,0),IF(AND(L50&lt;Z50,ISNUMBER(SEARCH("Type",N50))),ROUND(L50*LEFT(INDEX(CMLIGHTBASE[Measure Subgroup 2], MATCH(F50,CMLIGHTBASE[Base Desc 1],0)),2)*X50/V50,0),IF(OR(ISNUMBER(SEARCH("Fixture",N50)),ISNUMBER(SEARCH("Kit",N50))),Z50*X50,Z50*X50))))</f>
        <v/>
      </c>
      <c r="AZ50" s="689" t="str">
        <f t="shared" ref="AZ50" si="115">IF(OR(C50="Incandescent",C50="Halogen",C50="Exit Sign"),CONCATENATE(C50,"-",F50),IF(C50="Pulse Start Metal Halide",CONCATENATE("Metal Halide-",N50),CONCATENATE(C50,"-",N50)))</f>
        <v>-</v>
      </c>
      <c r="BA50" s="689" t="str">
        <f>IF(OR(C50="",F50="",J50="",L50="",N50="",R50="",X50="",Z50="",AB50="",AF50="",AH50="",AD50=""),"",
IF(ISNUMBER(SEARCH("Linear",C50)),INDEX(PMELIGHTLIN[Measure '#],MATCH(AZ50,PMELIGHTLIN[Measure Validator],0)),
IF(OR(C50="Metal Halide",C50="Pulse Start Metal Halide",C50="HP Sodium",C50="Mercury Vapor"),INDEX(PMELIGHTHID[Measure '#],MATCH(AZ50,PMELIGHTHID[Measure Validator],0)),
IF(OR(C50="Incandescent",C50="Halogen",C50="Exit Sign"),INDEX(PMELIGHTINCAN[Measure '#],MATCH(AZ50,PMELIGHTINCAN[Measure Validator],0))))))</f>
        <v/>
      </c>
      <c r="BB50" s="689" t="str">
        <f ca="1">IFERROR(IF(OR(C50="",F50="",J50="",L50="",N50="",R50="",X50="",Z50="",AB50="",AF50="",AH50="",AD50=""),"",IF(AND(ISNUMBER(SEARCH("Linear",C50)),OR(ISNUMBER(SEARCH("Yes",M02S02F44)),M02S02F44="")),INDEX(PMELIGHTLIN[Inc Rate Unit FT],MATCH(AZ50,PMELIGHTLIN[Measure Validator],0)),IF(AND(ISNUMBER(SEARCH("Linear",C50)),OR(ISNUMBER(SEARCH("No",M02S02F44)))),INDEX(PMELIGHTLIN[Inc Rate Unit PA],MATCH(AZ50,PMELIGHTLIN[Measure Validator],0)),IF(OR(C50="Metal Halide",C50="Pulse Start Metal Halide",C50="HP Sodium",C50="Mercury Vapor"),INDEX(PMELIGHTHID[Inc Rate Unit],MATCH(AZ50,PMELIGHTHID[Measure Validator],0)),IF(OR(C50="Incandescent",C50="Halogen",C50="Exit Sign"),INDEX(PMELIGHTINCAN[Inc Rate Unit],MATCH(AZ50,PMELIGHTINCAN[Measure Validator],0)))))))*IF(AND(ISNUMBER(SEARCH("NO",M02S02F44)),M02S02F43&lt;=DATEVALUE("12/31/2021"),TODAY()&lt;=LIGHTING2021,OR(C50="Metal Halide",C50="Pulse Start Metal Halide",C50="HP Sodium",C50="Mercury Vapor",ISNUMBER(SEARCH("Linear",C50)))),LIGHTRATE21,1),"")</f>
        <v/>
      </c>
      <c r="BC50" s="689">
        <f>IFERROR(ROUND(IF(BA50="","",IF(OR(ISNUMBER(SEARCH("Yes",M02S02F44)),M02S02F44=""),IF(AND(L50&gt;=Z50,ISNUMBER(SEARCH("Type",N50))),BB50*(Z50*V50)*LEFT(INDEX(CMLIGHTBASE[Measure Subgroup 1], MATCH(F50,CMLIGHTBASE[Base Desc 1],0)),1),IF(AND(L50&lt;Z50,ISNUMBER(SEARCH("Type",N50))),BB50*(V50*L50)*LEFT(INDEX(CMLIGHTBASE[Measure Subgroup 1], MATCH(F50,CMLIGHTBASE[Base Desc 1],0)),1),0)),IF(ISNUMBER(SEARCH("Type",N50)),(AX50-AY50)*BB50,0))),2),0)</f>
        <v>0</v>
      </c>
      <c r="BD50" s="689" t="str">
        <f t="shared" ref="BD50" si="116">IFERROR((IF(BA50="","",IF(ISNUMBER(SEARCH("Type",N50)),0,IF(OR(C50="Incandescent",C50="Halogen",C50="Exit Sign"),Z50*BB50,IF(L50&gt;=Z50,((Z50*J50)-(Z50*X50)),((L50*J50)-(Z50*X50)))*BB50)))),0)</f>
        <v/>
      </c>
      <c r="BE50" s="685"/>
      <c r="BF50" s="683">
        <f t="shared" ref="BF50" si="117">IFERROR(ROUND(BH50*1.1,2),0)</f>
        <v>0</v>
      </c>
      <c r="BG50" s="654" t="str">
        <f>IF(OR(C50="",F50="",J50="",L50="",N50="",R50="",X50="",Z50="",AB50="",AF50="",AH50="",AD50=""),"",IF(BI50&lt;&gt;"",BI50,ROUND(BF50*BONUSADJ,2)))</f>
        <v/>
      </c>
      <c r="BH50" s="654" t="str">
        <f t="shared" si="3"/>
        <v/>
      </c>
      <c r="BI50" s="684" t="str">
        <f t="shared" ref="BI50" si="118">IF(OR(C50="",F50="",J50="",L50="",N50="",R50="",X50="",Z50="",AB50="",AF50="",AH50="",AD50=""),"",IFERROR(IF(Z50&lt;&gt;L50,"One-for-One Replacement Only",IF(((J50*L50)-(X50*Z50))&lt;=0,"No Savings",IF((AX50-AY50)&lt;=0,"No Incentive",IF(AND(ISNUMBER(SEARCH("Linear",C50)),AD50&lt;50000),"Lamp Life Too Short","")))),"Submit for Review"))</f>
        <v/>
      </c>
      <c r="BJ50" s="654" t="str">
        <f t="shared" ref="BJ50" si="119">IF(OR(C50="",F50="",J50="",L50="",N50="",R50="",X50="",Z50="",AB50="",AF50="",AH50="",AD50=""),"",IF(BI50&lt;&gt;"",BI50,MIN(IF(ISNUMBER(SEARCH("Type",N50)),BC50,BD50),AT50)))</f>
        <v/>
      </c>
      <c r="BM50" s="650" t="str">
        <f>IF(OR(C50="",F50="",J50="",L50="",N50="",R50="",X50="",Z50="",AB50="",AF50="",AH50="",AD50=""),"",IFERROR(IF(BN48&lt;SBDICAP,"SBDI","Standard"),""))</f>
        <v/>
      </c>
      <c r="BN50" s="655">
        <f>SUMIF($BM$32:BM49,"=SBDI",$BQ$32:BQ49)+IF(BM50="SBDI",BQ50,0)</f>
        <v>0</v>
      </c>
      <c r="BO50" s="655">
        <f t="shared" ref="BO50" ca="1" si="120">IFERROR(IF(AND(BM50="SBDI",BB50*(AX50-AY50)&gt;BT50),(BB50*(AX50-AY50))-BT50,IF(AND(BM50="Standard",BB50*(AX50-AY50)&gt;BP50),(BB50*(AX50-AY50))-BP50,0)),0)</f>
        <v>0</v>
      </c>
      <c r="BP50" s="655" t="str">
        <f>IF(OR(C50="",F50="",J50="",L50="",N50="",R50="",X50="",Z50="",AB50="",AF50="",AH50="",AD50=""),"",ROUND(MIN(AT50,IF(ISNUMBER(SEARCH("Linear",C50)),INDEX(PMELIGHTLIN[Inc Rate Unit PA],MATCH(AZ50,PMELIGHTLIN[Measure Validator],0))*(AX50-AY50),IF(ISNUMBER(SEARCH("Exit",C50)),INDEX(PMELIGHTINCAN[Inc Rate Unit],MATCH(AZ50,PMELIGHTINCAN[Measure Validator],0))*Z50,INDEX(PMELIGHTHID[Inc Rate Unit],MATCH(AZ50,PMELIGHTHID[Measure Validator],0))*(AX50-AY50)))),2))</f>
        <v/>
      </c>
      <c r="BQ50" s="655" t="str">
        <f>IF(OR(C50="",F50="",J50="",L50="",N50="",R50="",X50="",Z50="",AB50="",AF50="",AH50="",AD50=""),"",
IF(AND(BM50="SBDI",ISNUMBER(SEARCH("Linear",C50))),ROUND(MIN(AT50,INDEX(PMELIGHTLIN[Inc Rate SBDI],MATCH(AZ50,PMELIGHTLIN[Measure Validator],0))*(AX50-AY50),SBDICAP-BN48),2),
IF(AND(BM50="SBDI",ISNUMBER(SEARCH("Exit",C50))),ROUND(MIN(AT50,INDEX(PMELIGHTINCAN[Inc Rate SBDI],MATCH(AZ50,PMELIGHTINCAN[Measure Validator],0))*Z50,SBDICAP-BN48),2),
IF(AND(BM50="SBDI",OR(ISNUMBER(SEARCH("Sodium",C50)),ISNUMBER(SEARCH("Vapor",C50)),ISNUMBER(SEARCH("Halide",C50)),ISNUMBER(SEARCH("Linear",C50)))),ROUND(MIN(AT50,INDEX(PMELIGHTHID[Inc Rate SBDI],MATCH(AZ50,PMELIGHTHID[Measure Validator],0))*(AX50-AY50),SBDICAP-BN48),2),
IF(AND(BM50="Standard",ISNUMBER(SEARCH("Linear",C50))),ROUND(MIN(AT50,INDEX(PMELIGHTLIN[Inc Rate Unit PA],MATCH(AZ50,PMELIGHTLIN[Measure Validator],0))*(AX50-AY50)),2),
IF(AND(BM50="Standard",ISNUMBER(SEARCH("Exit",C50))),ROUND(MIN(AT50,INDEX(PMELIGHTINCAN[Inc Rate Unit],MATCH(AZ50,PMELIGHTINCAN[Measure Validator],0))*Z50),2),
IF(AND(BM50="Standard",OR(ISNUMBER(SEARCH("Sodium",C50)),ISNUMBER(SEARCH("Vapor",C50)),ISNUMBER(SEARCH("Halide",C50)),ISNUMBER(SEARCH("Linear",C50)))),ROUND(MIN(AT50,INDEX(PMELIGHTHID[Inc Rate Unit],MATCH(AZ50,PMELIGHTHID[Measure Validator],0))*(AX50-AY50)),2))))))))</f>
        <v/>
      </c>
      <c r="BR50" s="656">
        <f>IF(AND(BM50="SBDI",BN50&gt;=SBDICAP),
IF(ISNUMBER(SEARCH("Linear",C50)),ROUNDUP((((INDEX(PMELIGHTLIN[Inc Rate SBDI],MATCH(AZ50,PMELIGHTLIN[Measure Validator],0))*(AX50-AY50)-BQ50))/BB50),0),
IF(ISNUMBER(SEARCH("Exit",C50)),ROUNDUP((((INDEX(PMELIGHTINCAN[Inc Rate SBDI],MATCH(AZ50,PMELIGHTLIN[Measure Validator],0))*(Z50)-BQ50))/BB50),0),
ROUNDUP((((INDEX(PMELIGHTHID[Inc Rate SBDI],MATCH(AZ50,PMELIGHTHID[Measure Validator],0))*(AX50-AY50)-BQ50))/BB50),0))),0)</f>
        <v>0</v>
      </c>
      <c r="BS50" s="650">
        <f>IFERROR(IF(ISNUMBER(SEARCH("Linear",C50)),
IF(MIN(INDEX(PMELIGHTLIN[Inc Rate Unit PA],MATCH(AZ50,PMELIGHTLIN[Measure Validator],0))*BR50,AT50-BT50)&lt;0,0,MIN(INDEX(PMELIGHTLIN[Inc Rate Unit PA],MATCH(AZ50,PMELIGHTLIN[Measure Validator],0))*BR50,AT50-BT50)),
IF(ISNUMBER(SEARCH("Exit",C50)),
IF(MIN(INDEX(PMELIGHTINCAN[Inc Rate Unit],MATCH(AZ50,PMELIGHTINCAN[Measure Validator],0))*BR50,AT50-BT50)&lt;0,0,MIN(INDEX(PMELIGHTINCAN[Inc Rate Unit],MATCH(AZ50,PMELIGHTINCAN[Measure Validator],0))*BR50,AT50-BT50)),
IF(MIN(INDEX(PMELIGHTHID[Inc Rate Unit],MATCH(AZ50,PMELIGHTHID[Measure Validator],0))*BR50,AT50-BT50)&lt;0,0,MIN(INDEX(PMELIGHTHID[Inc Rate Unit],MATCH(AZ50,PMELIGHTHID[Measure Validator],0))*BR50,AT50-BT50)))),0)</f>
        <v>0</v>
      </c>
      <c r="BT50" s="650" t="str">
        <f t="shared" ref="BT50" si="121">IF(BR50=0,BQ50,
IF(ISNUMBER(SEARCH("Exit",C50)),Z50-BR50*BB50,((AX50-AY50)-BR50)*BB50))</f>
        <v/>
      </c>
      <c r="BU50" s="650">
        <f>ROUND(SUMIF($BM$32:BM48,"=SBDI",$BT$32:BT49),2)+IF(BM50="SBDI",BT50,0)</f>
        <v>0</v>
      </c>
      <c r="BV50" s="650" t="str">
        <f t="shared" ref="BV50" si="122">IF(AND(BM50="SBDI",BR50&lt;&gt;0),BS50+BT50,
IF(AND(BM50="SBDI",BR50=0),BQ50,BP50))</f>
        <v/>
      </c>
    </row>
    <row r="51" spans="2:74" ht="15.95" customHeight="1" x14ac:dyDescent="0.25">
      <c r="B51" s="698"/>
      <c r="C51" s="706"/>
      <c r="D51" s="707"/>
      <c r="E51" s="708"/>
      <c r="F51" s="710"/>
      <c r="G51" s="707"/>
      <c r="H51" s="707"/>
      <c r="I51" s="707"/>
      <c r="J51" s="700"/>
      <c r="K51" s="693"/>
      <c r="L51" s="692"/>
      <c r="M51" s="700"/>
      <c r="N51" s="706"/>
      <c r="O51" s="707"/>
      <c r="P51" s="707"/>
      <c r="Q51" s="708"/>
      <c r="R51" s="710"/>
      <c r="S51" s="707"/>
      <c r="T51" s="707"/>
      <c r="U51" s="708"/>
      <c r="V51" s="692"/>
      <c r="W51" s="693"/>
      <c r="X51" s="692"/>
      <c r="Y51" s="693"/>
      <c r="Z51" s="692"/>
      <c r="AA51" s="693"/>
      <c r="AB51" s="692"/>
      <c r="AC51" s="693"/>
      <c r="AD51" s="692"/>
      <c r="AE51" s="693"/>
      <c r="AF51" s="663"/>
      <c r="AG51" s="682"/>
      <c r="AH51" s="663"/>
      <c r="AI51" s="664"/>
      <c r="AJ51" s="668"/>
      <c r="AK51" s="669"/>
      <c r="AL51" s="669"/>
      <c r="AM51" s="670"/>
      <c r="AN51" s="674"/>
      <c r="AO51" s="675"/>
      <c r="AP51" s="675"/>
      <c r="AQ51" s="676"/>
      <c r="AR51" s="448"/>
      <c r="AT51" s="686"/>
      <c r="AU51" s="685"/>
      <c r="AV51" s="660"/>
      <c r="AW51" s="660"/>
      <c r="AX51" s="688"/>
      <c r="AY51" s="689"/>
      <c r="AZ51" s="689"/>
      <c r="BA51" s="689"/>
      <c r="BB51" s="689"/>
      <c r="BC51" s="689"/>
      <c r="BD51" s="689"/>
      <c r="BE51" s="685"/>
      <c r="BF51" s="683"/>
      <c r="BG51" s="654"/>
      <c r="BH51" s="654"/>
      <c r="BI51" s="685"/>
      <c r="BJ51" s="654"/>
      <c r="BM51" s="651"/>
      <c r="BN51" s="650"/>
      <c r="BO51" s="650"/>
      <c r="BP51" s="650"/>
      <c r="BQ51" s="650"/>
      <c r="BR51" s="657"/>
      <c r="BS51" s="651"/>
      <c r="BT51" s="651"/>
      <c r="BU51" s="651"/>
      <c r="BV51" s="651"/>
    </row>
    <row r="52" spans="2:74" ht="15.95" hidden="1" customHeight="1" x14ac:dyDescent="0.25">
      <c r="B52" s="698">
        <v>11</v>
      </c>
      <c r="C52" s="703"/>
      <c r="D52" s="704"/>
      <c r="E52" s="705"/>
      <c r="F52" s="709"/>
      <c r="G52" s="704"/>
      <c r="H52" s="704"/>
      <c r="I52" s="704"/>
      <c r="J52" s="699" t="str">
        <f>IF(OR(C52="Halogen",C52="Incandescent",C52="Exit Sign",F52=""),"",INDEX(CMLIGHTBASE[Base Watt 1],MATCH(F52,CMLIGHTBASE[Base Desc 1],0)))</f>
        <v/>
      </c>
      <c r="K52" s="691"/>
      <c r="L52" s="690"/>
      <c r="M52" s="699"/>
      <c r="N52" s="703"/>
      <c r="O52" s="704"/>
      <c r="P52" s="704"/>
      <c r="Q52" s="705"/>
      <c r="R52" s="709"/>
      <c r="S52" s="704"/>
      <c r="T52" s="704"/>
      <c r="U52" s="705"/>
      <c r="V52" s="690" t="str">
        <f t="shared" ref="V52" si="123">IF(N52="","",IF(ISNUMBER(SEARCH("Type",N52)),"","N/A"))</f>
        <v/>
      </c>
      <c r="W52" s="691"/>
      <c r="X52" s="690"/>
      <c r="Y52" s="691"/>
      <c r="Z52" s="690"/>
      <c r="AA52" s="691"/>
      <c r="AB52" s="690" t="str">
        <f t="shared" ref="AB52" si="124">IF(C52="Exit Sign", 8760,"")</f>
        <v/>
      </c>
      <c r="AC52" s="691"/>
      <c r="AD52" s="677"/>
      <c r="AE52" s="678"/>
      <c r="AF52" s="661"/>
      <c r="AG52" s="681"/>
      <c r="AH52" s="661"/>
      <c r="AI52" s="662"/>
      <c r="AJ52" s="665" t="str">
        <f>IF(OR(C52="",F52="",J52="",L52="",N52="",R52="",X52="",Z52="",AB52="",AF52="",AH52="",AD52=""),"",IFERROR(ROUND(IF((AV52-AW52)&lt;=0,0,IF(M02S02F32&lt;&gt;"",INDEX(SPACEHEAT[HIF],MATCH(M02S02F32,SHEAT,0))*(AV52-AW52),(AV52-AW52))),0),""))</f>
        <v/>
      </c>
      <c r="AK52" s="666"/>
      <c r="AL52" s="666"/>
      <c r="AM52" s="667"/>
      <c r="AN52" s="671" t="str">
        <f>IF(OR(C52="",F52="",J52="",L52="",N52="",R52="",X52="",Z52="",AB52="",AF52="",AH52="",AD52=""),"",IF(BI52&lt;&gt;"",BI52,MIN(IF(ISNUMBER(SEARCH("Type",N52)),BC52,BD52),AT52)))</f>
        <v/>
      </c>
      <c r="AO52" s="672"/>
      <c r="AP52" s="672"/>
      <c r="AQ52" s="673"/>
      <c r="AR52" s="448"/>
      <c r="AT52" s="686" t="str">
        <f t="shared" ref="AT52" si="125">IF(OR(C52="",F52="",J52="",L52="",N52="",R52="",X52="",Z52="",AB52="",AF52="",AH52="",AD52=""),"",(ROUND((AF52+AH52)*Z52,2)))</f>
        <v/>
      </c>
      <c r="AU52" s="685" t="str">
        <f>IF(OR(C52="",F52="",J52="",L52="",N52="",R52="",X52="",Z52="",AB52="",AF52="",AH52="",AD52=""),"",ROUND(AJ52*INDEX(ENDUSEALL[Factor],MATCH("Lighting",ENDUSEALL[End Use to Coincident Peak Demand Factors],0)),4))</f>
        <v/>
      </c>
      <c r="AV52" s="660" t="str">
        <f t="shared" ref="AV52" si="126">IF(OR(C52="",F52="",J52="",L52="",N52="",R52="",X52="",Z52="",AB52="",AF52="",AH52="",AD52=""),"",IF(C52="Incandescent",ROUND(0.7*J52*L52*AB52/1000,0),ROUND(L52*AB52*J52/1000,0)))</f>
        <v/>
      </c>
      <c r="AW52" s="660" t="str">
        <f t="shared" ref="AW52" si="127">IF(OR(C52="",F52="",J52="",L52="",N52="",R52="",X52="",Z52="",AB52="",AF52="",AH52="",AD52=""),"",IF(ISNUMBER(SEARCH("Network",N52)),ROUND(0.76*AB52*Z52*X52/1000,0),ROUND(X52*AB52*Z52/1000,0)))</f>
        <v/>
      </c>
      <c r="AX52" s="687" t="str">
        <f>IF(OR(C52="",F52="",J52="",L52="",N52="",R52="",X52="",Z52="",AB52="",AF52="",AH52="",AD52=""),"",
IF(AND(L52&gt;=Z52,ISNUMBER(SEARCH("Type",N52))),ROUND(Z52*LEFT(INDEX(CMLIGHTBASE[Measure Subgroup 2], MATCH(F52,CMLIGHTBASE[Base Desc 1],0)),2)*J52/LEFT(INDEX(CMLIGHTBASE[Measure Subgroup 2], MATCH(F52,CMLIGHTBASE[Base Desc 1],0)),2),0),
IF(AND(L52&lt;Z52,ISNUMBER(SEARCH("Type",N52))),ROUND(L52*LEFT(INDEX(CMLIGHTBASE[Measure Subgroup 2], MATCH(F52,CMLIGHTBASE[Base Desc 1],0)),2)*J52/LEFT(INDEX(CMLIGHTBASE[Measure Subgroup 2], MATCH(F52,CMLIGHTBASE[Base Desc 1],0)),2),0),
IF(AND(OR(ISNUMBER(SEARCH("Fixture",N52)),ISNUMBER(SEARCH("Kit",N52))),L52&gt;=Z52,ISNUMBER(SEARCH("Linear",C52))),Z52*J52,
IF(C52="Incandescent",0.7*J52*L52,L52*J52)))))</f>
        <v/>
      </c>
      <c r="AY52" s="689" t="str">
        <f>IF(OR(C52="",F52="",J52="",L52="",N52="",R52="",X52="",Z52="",AB52="",AF52="",AH52="",AD52=""),"",IF(AND(L52&gt;=Z52,ISNUMBER(SEARCH("Type",N52))),ROUND(Z52*LEFT(INDEX(CMLIGHTBASE[Measure Subgroup 2], MATCH(F52,CMLIGHTBASE[Base Desc 1],0)),2)*X52/V52,0),IF(AND(L52&lt;Z52,ISNUMBER(SEARCH("Type",N52))),ROUND(L52*LEFT(INDEX(CMLIGHTBASE[Measure Subgroup 2], MATCH(F52,CMLIGHTBASE[Base Desc 1],0)),2)*X52/V52,0),IF(OR(ISNUMBER(SEARCH("Fixture",N52)),ISNUMBER(SEARCH("Kit",N52))),Z52*X52,Z52*X52))))</f>
        <v/>
      </c>
      <c r="AZ52" s="689" t="str">
        <f t="shared" ref="AZ52" si="128">IF(OR(C52="Incandescent",C52="Halogen",C52="Exit Sign"),CONCATENATE(C52,"-",F52),IF(C52="Pulse Start Metal Halide",CONCATENATE("Metal Halide-",N52),CONCATENATE(C52,"-",N52)))</f>
        <v>-</v>
      </c>
      <c r="BA52" s="689" t="str">
        <f>IF(OR(C52="",F52="",J52="",L52="",N52="",R52="",X52="",Z52="",AB52="",AF52="",AH52="",AD52=""),"",
IF(ISNUMBER(SEARCH("Linear",C52)),INDEX(PMELIGHTLIN[Measure '#],MATCH(AZ52,PMELIGHTLIN[Measure Validator],0)),
IF(OR(C52="Metal Halide",C52="Pulse Start Metal Halide",C52="HP Sodium",C52="Mercury Vapor"),INDEX(PMELIGHTHID[Measure '#],MATCH(AZ52,PMELIGHTHID[Measure Validator],0)),
IF(OR(C52="Incandescent",C52="Halogen",C52="Exit Sign"),INDEX(PMELIGHTINCAN[Measure '#],MATCH(AZ52,PMELIGHTINCAN[Measure Validator],0))))))</f>
        <v/>
      </c>
      <c r="BB52" s="689" t="str">
        <f ca="1">IFERROR(IF(OR(C52="",F52="",J52="",L52="",N52="",R52="",X52="",Z52="",AB52="",AF52="",AH52="",AD52=""),"",
IF(AND(ISNUMBER(SEARCH("Linear",C52)),OR(ISNUMBER(SEARCH("Yes",M02S02F44)),M02S02F44="")),INDEX(PMELIGHTLIN[Inc Rate Unit FT],MATCH(AZ52,PMELIGHTLIN[Measure Validator],0)),
IF(AND(ISNUMBER(SEARCH("Linear",C52)),OR(ISNUMBER(SEARCH("No",M02S02F44)))),INDEX(PMELIGHTLIN[Inc Rate Unit PA],MATCH(AZ52,PMELIGHTLIN[Measure Validator],0)),
IF(OR(C52="Metal Halide",C52="Pulse Start Metal Halide",C52="HP Sodium",C52="Mercury Vapor"),INDEX(PMELIGHTHID[Inc Rate Unit],MATCH(AZ52,PMELIGHTHID[Measure Validator],0)),
IF(OR(C52="Incandescent",C52="Halogen",C52="Exit Sign"),INDEX(PMELIGHTINCAN[Inc Rate Unit],MATCH(AZ52,PMELIGHTINCAN[Measure Validator],0)))))))*
IF(AND(ISNUMBER(SEARCH("NO",M02S02F44)),M02S02F43&lt;=DATEVALUE("12/31/2021"),TODAY()&lt;=LIGHTING2021,OR(C52="Metal Halide",C52="Pulse Start Metal Halide",C52="HP Sodium",C52="Mercury Vapor",ISNUMBER(SEARCH("Linear",C52)))),LIGHTRATE21,1),"")</f>
        <v/>
      </c>
      <c r="BC52" s="689">
        <f>IFERROR(ROUND(IF(BA52="","",IF(OR(ISNUMBER(SEARCH("Yes",M02S02F44)),M02S02F44=""),IF(AND(L52&gt;=Z52,ISNUMBER(SEARCH("Type",N52))),BB52*(Z52*V52)*LEFT(INDEX(CMLIGHTBASE[Measure Subgroup 1], MATCH(F52,CMLIGHTBASE[Base Desc 1],0)),1),IF(AND(L52&lt;Z52,ISNUMBER(SEARCH("Type",N52))),BB52*(V52*L52)*LEFT(INDEX(CMLIGHTBASE[Measure Subgroup 1], MATCH(F52,CMLIGHTBASE[Base Desc 1],0)),1),0)),IF(ISNUMBER(SEARCH("Type",N52)),(AX52-AY52)*BB52,0))),2),0)</f>
        <v>0</v>
      </c>
      <c r="BD52" s="689" t="str">
        <f t="shared" ref="BD52" si="129">IFERROR((IF(BA52="","",IF(ISNUMBER(SEARCH("Type",N52)),0,IF(OR(C52="Incandescent",C52="Halogen",C52="Exit Sign"),Z52*BB52,IF(L52&gt;=Z52,((Z52*J52)-(Z52*X52)),((L52*J52)-(Z52*X52)))*BB52)))),0)</f>
        <v/>
      </c>
      <c r="BE52" s="685"/>
      <c r="BF52" s="683">
        <f t="shared" ref="BF52" si="130">IFERROR(ROUND(BH52*1.1,2),0)</f>
        <v>0</v>
      </c>
      <c r="BG52" s="654" t="str">
        <f>IF(OR(C52="",F52="",J52="",L52="",N52="",R52="",X52="",Z52="",AB52="",AF52="",AH52="",AD52=""),"",IF(BI52&lt;&gt;"",BI52,ROUND(BF52*BONUSADJ,2)))</f>
        <v/>
      </c>
      <c r="BH52" s="654" t="str">
        <f t="shared" ref="BH52" si="131">IF(OR(C52="",F52="",J52="",L52="",N52="",R52="",X52="",Z52="",AB52="",AF52="",AH52="",AD52=""),"",IF(BI52&lt;&gt;"",BI52,MIN(IF(ISNUMBER(SEARCH("Type",N52)),BC52,BD52),AT52)))</f>
        <v/>
      </c>
      <c r="BI52" s="684" t="str">
        <f t="shared" ref="BI52" si="132">IF(OR(C52="",F52="",J52="",L52="",N52="",R52="",X52="",Z52="",AB52="",AF52="",AH52="",AD52=""),"",IFERROR(IF(Z52&lt;&gt;L52,"One-for-One Replacement Only",IF(((J52*L52)-(X52*Z52))&lt;=0,"No Savings",IF((AX52-AY52)&lt;=0,"No Incentive",IF(AND(ISNUMBER(SEARCH("Linear",C52)),AD52&lt;50000),"Lamp Life Too Short","")))),"Submit for Review"))</f>
        <v/>
      </c>
    </row>
    <row r="53" spans="2:74" ht="15.95" hidden="1" customHeight="1" x14ac:dyDescent="0.25">
      <c r="B53" s="698"/>
      <c r="C53" s="706"/>
      <c r="D53" s="707"/>
      <c r="E53" s="708"/>
      <c r="F53" s="710"/>
      <c r="G53" s="707"/>
      <c r="H53" s="707"/>
      <c r="I53" s="707"/>
      <c r="J53" s="700"/>
      <c r="K53" s="693"/>
      <c r="L53" s="692"/>
      <c r="M53" s="700"/>
      <c r="N53" s="706"/>
      <c r="O53" s="707"/>
      <c r="P53" s="707"/>
      <c r="Q53" s="708"/>
      <c r="R53" s="710"/>
      <c r="S53" s="707"/>
      <c r="T53" s="707"/>
      <c r="U53" s="708"/>
      <c r="V53" s="692"/>
      <c r="W53" s="693"/>
      <c r="X53" s="692"/>
      <c r="Y53" s="693"/>
      <c r="Z53" s="692"/>
      <c r="AA53" s="693"/>
      <c r="AB53" s="692"/>
      <c r="AC53" s="693"/>
      <c r="AD53" s="679"/>
      <c r="AE53" s="680"/>
      <c r="AF53" s="663"/>
      <c r="AG53" s="682"/>
      <c r="AH53" s="663"/>
      <c r="AI53" s="664"/>
      <c r="AJ53" s="668"/>
      <c r="AK53" s="669"/>
      <c r="AL53" s="669"/>
      <c r="AM53" s="670"/>
      <c r="AN53" s="674"/>
      <c r="AO53" s="675"/>
      <c r="AP53" s="675"/>
      <c r="AQ53" s="676"/>
      <c r="AR53" s="448"/>
      <c r="AT53" s="686"/>
      <c r="AU53" s="685"/>
      <c r="AV53" s="660"/>
      <c r="AW53" s="660"/>
      <c r="AX53" s="688"/>
      <c r="AY53" s="689"/>
      <c r="AZ53" s="689"/>
      <c r="BA53" s="689"/>
      <c r="BB53" s="689"/>
      <c r="BC53" s="689"/>
      <c r="BD53" s="689"/>
      <c r="BE53" s="685"/>
      <c r="BF53" s="683"/>
      <c r="BG53" s="654"/>
      <c r="BH53" s="654"/>
      <c r="BI53" s="685"/>
    </row>
    <row r="54" spans="2:74" ht="15.95" hidden="1" customHeight="1" x14ac:dyDescent="0.25">
      <c r="B54" s="698">
        <v>12</v>
      </c>
      <c r="C54" s="703"/>
      <c r="D54" s="704"/>
      <c r="E54" s="705"/>
      <c r="F54" s="709"/>
      <c r="G54" s="704"/>
      <c r="H54" s="704"/>
      <c r="I54" s="704"/>
      <c r="J54" s="699" t="str">
        <f>IF(OR(C54="Halogen",C54="Incandescent",C54="Exit Sign",F54=""),"",INDEX(CMLIGHTBASE[Base Watt 1],MATCH(F54,CMLIGHTBASE[Base Desc 1],0)))</f>
        <v/>
      </c>
      <c r="K54" s="691"/>
      <c r="L54" s="690"/>
      <c r="M54" s="699"/>
      <c r="N54" s="703"/>
      <c r="O54" s="704"/>
      <c r="P54" s="704"/>
      <c r="Q54" s="705"/>
      <c r="R54" s="709"/>
      <c r="S54" s="704"/>
      <c r="T54" s="704"/>
      <c r="U54" s="705"/>
      <c r="V54" s="690" t="str">
        <f t="shared" ref="V54" si="133">IF(N54="","",IF(ISNUMBER(SEARCH("Type",N54)),"","N/A"))</f>
        <v/>
      </c>
      <c r="W54" s="691"/>
      <c r="X54" s="690"/>
      <c r="Y54" s="691"/>
      <c r="Z54" s="690"/>
      <c r="AA54" s="691"/>
      <c r="AB54" s="690" t="str">
        <f t="shared" ref="AB54" si="134">IF(C54="Exit Sign", 8760,"")</f>
        <v/>
      </c>
      <c r="AC54" s="691"/>
      <c r="AD54" s="677"/>
      <c r="AE54" s="678"/>
      <c r="AF54" s="661"/>
      <c r="AG54" s="681"/>
      <c r="AH54" s="661"/>
      <c r="AI54" s="662"/>
      <c r="AJ54" s="665" t="str">
        <f>IF(OR(C54="",F54="",J54="",L54="",N54="",R54="",X54="",Z54="",AB54="",AF54="",AH54="",AD54=""),"",IFERROR(ROUND(IF((AV54-AW54)&lt;=0,0,IF(M02S02F32&lt;&gt;"",INDEX(SPACEHEAT[HIF],MATCH(M02S02F32,SHEAT,0))*(AV54-AW54),(AV54-AW54))),0),""))</f>
        <v/>
      </c>
      <c r="AK54" s="666"/>
      <c r="AL54" s="666"/>
      <c r="AM54" s="667"/>
      <c r="AN54" s="671" t="str">
        <f>IF(OR(C54="",F54="",J54="",L54="",N54="",R54="",X54="",Z54="",AB54="",AF54="",AH54="",AD54=""),"",IF(BI54&lt;&gt;"",BI54,MIN(IF(ISNUMBER(SEARCH("Type",N54)),BC54,BD54),AT54)))</f>
        <v/>
      </c>
      <c r="AO54" s="672"/>
      <c r="AP54" s="672"/>
      <c r="AQ54" s="673"/>
      <c r="AR54" s="448"/>
      <c r="AT54" s="686" t="str">
        <f t="shared" ref="AT54" si="135">IF(OR(C54="",F54="",J54="",L54="",N54="",R54="",X54="",Z54="",AB54="",AF54="",AH54="",AD54=""),"",(ROUND((AF54+AH54)*Z54,2)))</f>
        <v/>
      </c>
      <c r="AU54" s="685" t="str">
        <f>IF(OR(C54="",F54="",J54="",L54="",N54="",R54="",X54="",Z54="",AB54="",AF54="",AH54="",AD54=""),"",ROUND(AJ54*INDEX(ENDUSEALL[Factor],MATCH("Lighting",ENDUSEALL[End Use to Coincident Peak Demand Factors],0)),4))</f>
        <v/>
      </c>
      <c r="AV54" s="660" t="str">
        <f t="shared" ref="AV54" si="136">IF(OR(C54="",F54="",J54="",L54="",N54="",R54="",X54="",Z54="",AB54="",AF54="",AH54="",AD54=""),"",IF(C54="Incandescent",ROUND(0.7*J54*L54*AB54/1000,0),ROUND(L54*AB54*J54/1000,0)))</f>
        <v/>
      </c>
      <c r="AW54" s="660" t="str">
        <f t="shared" ref="AW54" si="137">IF(OR(C54="",F54="",J54="",L54="",N54="",R54="",X54="",Z54="",AB54="",AF54="",AH54="",AD54=""),"",IF(ISNUMBER(SEARCH("Network",N54)),ROUND(0.76*AB54*Z54*X54/1000,0),ROUND(X54*AB54*Z54/1000,0)))</f>
        <v/>
      </c>
      <c r="AX54" s="687" t="str">
        <f>IF(OR(C54="",F54="",J54="",L54="",N54="",R54="",X54="",Z54="",AB54="",AF54="",AH54="",AD54=""),"",
IF(AND(L54&gt;=Z54,ISNUMBER(SEARCH("Type",N54))),ROUND(Z54*LEFT(INDEX(CMLIGHTBASE[Measure Subgroup 2], MATCH(F54,CMLIGHTBASE[Base Desc 1],0)),2)*J54/LEFT(INDEX(CMLIGHTBASE[Measure Subgroup 2], MATCH(F54,CMLIGHTBASE[Base Desc 1],0)),2),0),
IF(AND(L54&lt;Z54,ISNUMBER(SEARCH("Type",N54))),ROUND(L54*LEFT(INDEX(CMLIGHTBASE[Measure Subgroup 2], MATCH(F54,CMLIGHTBASE[Base Desc 1],0)),2)*J54/LEFT(INDEX(CMLIGHTBASE[Measure Subgroup 2], MATCH(F54,CMLIGHTBASE[Base Desc 1],0)),2),0),
IF(AND(OR(ISNUMBER(SEARCH("Fixture",N54)),ISNUMBER(SEARCH("Kit",N54))),L54&gt;=Z54,ISNUMBER(SEARCH("Linear",C54))),Z54*J54,
IF(C54="Incandescent",0.7*J54*L54,L54*J54)))))</f>
        <v/>
      </c>
      <c r="AY54" s="689" t="str">
        <f>IF(OR(C54="",F54="",J54="",L54="",N54="",R54="",X54="",Z54="",AB54="",AF54="",AH54="",AD54=""),"",IF(AND(L54&gt;=Z54,ISNUMBER(SEARCH("Type",N54))),ROUND(Z54*LEFT(INDEX(CMLIGHTBASE[Measure Subgroup 2], MATCH(F54,CMLIGHTBASE[Base Desc 1],0)),2)*X54/V54,0),IF(AND(L54&lt;Z54,ISNUMBER(SEARCH("Type",N54))),ROUND(L54*LEFT(INDEX(CMLIGHTBASE[Measure Subgroup 2], MATCH(F54,CMLIGHTBASE[Base Desc 1],0)),2)*X54/V54,0),IF(OR(ISNUMBER(SEARCH("Fixture",N54)),ISNUMBER(SEARCH("Kit",N54))),Z54*X54,Z54*X54))))</f>
        <v/>
      </c>
      <c r="AZ54" s="689" t="str">
        <f t="shared" ref="AZ54" si="138">IF(OR(C54="Incandescent",C54="Halogen",C54="Exit Sign"),CONCATENATE(C54,"-",F54),IF(C54="Pulse Start Metal Halide",CONCATENATE("Metal Halide-",N54),CONCATENATE(C54,"-",N54)))</f>
        <v>-</v>
      </c>
      <c r="BA54" s="689" t="str">
        <f>IF(OR(C54="",F54="",J54="",L54="",N54="",R54="",X54="",Z54="",AB54="",AF54="",AH54="",AD54=""),"",
IF(ISNUMBER(SEARCH("Linear",C54)),INDEX(PMELIGHTLIN[Measure '#],MATCH(AZ54,PMELIGHTLIN[Measure Validator],0)),
IF(OR(C54="Metal Halide",C54="Pulse Start Metal Halide",C54="HP Sodium",C54="Mercury Vapor"),INDEX(PMELIGHTHID[Measure '#],MATCH(AZ54,PMELIGHTHID[Measure Validator],0)),
IF(OR(C54="Incandescent",C54="Halogen",C54="Exit Sign"),INDEX(PMELIGHTINCAN[Measure '#],MATCH(AZ54,PMELIGHTINCAN[Measure Validator],0))))))</f>
        <v/>
      </c>
      <c r="BB54" s="689" t="str">
        <f ca="1">IFERROR(IF(OR(C54="",F54="",J54="",L54="",N54="",R54="",X54="",Z54="",AB54="",AF54="",AH54="",AD54=""),"",
IF(AND(ISNUMBER(SEARCH("Linear",C54)),OR(ISNUMBER(SEARCH("Yes",M02S02F44)),M02S02F44="")),INDEX(PMELIGHTLIN[Inc Rate Unit FT],MATCH(AZ54,PMELIGHTLIN[Measure Validator],0)),
IF(AND(ISNUMBER(SEARCH("Linear",C54)),OR(ISNUMBER(SEARCH("No",M02S02F44)))),INDEX(PMELIGHTLIN[Inc Rate Unit PA],MATCH(AZ54,PMELIGHTLIN[Measure Validator],0)),
IF(OR(C54="Metal Halide",C54="Pulse Start Metal Halide",C54="HP Sodium",C54="Mercury Vapor"),INDEX(PMELIGHTHID[Inc Rate Unit],MATCH(AZ54,PMELIGHTHID[Measure Validator],0)),
IF(OR(C54="Incandescent",C54="Halogen",C54="Exit Sign"),INDEX(PMELIGHTINCAN[Inc Rate Unit],MATCH(AZ54,PMELIGHTINCAN[Measure Validator],0)))))))*
IF(AND(ISNUMBER(SEARCH("NO",M02S02F44)),M02S02F43&lt;=DATEVALUE("12/31/2021"),TODAY()&lt;=LIGHTING2021,OR(C54="Metal Halide",C54="Pulse Start Metal Halide",C54="HP Sodium",C54="Mercury Vapor",ISNUMBER(SEARCH("Linear",C54)))),LIGHTRATE21,1),"")</f>
        <v/>
      </c>
      <c r="BC54" s="689">
        <f>IFERROR(ROUND(IF(BA54="","",IF(OR(ISNUMBER(SEARCH("Yes",M02S02F44)),M02S02F44=""),IF(AND(L54&gt;=Z54,ISNUMBER(SEARCH("Type",N54))),BB54*(Z54*V54)*LEFT(INDEX(CMLIGHTBASE[Measure Subgroup 1], MATCH(F54,CMLIGHTBASE[Base Desc 1],0)),1),IF(AND(L54&lt;Z54,ISNUMBER(SEARCH("Type",N54))),BB54*(V54*L54)*LEFT(INDEX(CMLIGHTBASE[Measure Subgroup 1], MATCH(F54,CMLIGHTBASE[Base Desc 1],0)),1),0)),IF(ISNUMBER(SEARCH("Type",N54)),(AX54-AY54)*BB54,0))),2),0)</f>
        <v>0</v>
      </c>
      <c r="BD54" s="689" t="str">
        <f t="shared" ref="BD54" si="139">IFERROR((IF(BA54="","",IF(ISNUMBER(SEARCH("Type",N54)),0,IF(OR(C54="Incandescent",C54="Halogen",C54="Exit Sign"),Z54*BB54,IF(L54&gt;=Z54,((Z54*J54)-(Z54*X54)),((L54*J54)-(Z54*X54)))*BB54)))),0)</f>
        <v/>
      </c>
      <c r="BE54" s="685"/>
      <c r="BF54" s="683">
        <f t="shared" ref="BF54" si="140">IFERROR(ROUND(BH54*1.1,2),0)</f>
        <v>0</v>
      </c>
      <c r="BG54" s="654" t="str">
        <f>IF(OR(C54="",F54="",J54="",L54="",N54="",R54="",X54="",Z54="",AB54="",AF54="",AH54="",AD54=""),"",IF(BI54&lt;&gt;"",BI54,ROUND(BF54*BONUSADJ,2)))</f>
        <v/>
      </c>
      <c r="BH54" s="654" t="str">
        <f t="shared" ref="BH54" si="141">IF(OR(C54="",F54="",J54="",L54="",N54="",R54="",X54="",Z54="",AB54="",AF54="",AH54="",AD54=""),"",IF(BI54&lt;&gt;"",BI54,MIN(IF(ISNUMBER(SEARCH("Type",N54)),BC54,BD54),AT54)))</f>
        <v/>
      </c>
      <c r="BI54" s="684" t="str">
        <f t="shared" ref="BI54" si="142">IF(OR(C54="",F54="",J54="",L54="",N54="",R54="",X54="",Z54="",AB54="",AF54="",AH54="",AD54=""),"",IFERROR(IF(Z54&lt;&gt;L54,"One-for-One Replacement Only",IF(((J54*L54)-(X54*Z54))&lt;=0,"No Savings",IF((AX54-AY54)&lt;=0,"No Incentive",IF(AND(ISNUMBER(SEARCH("Linear",C54)),AD54&lt;50000),"Lamp Life Too Short","")))),"Submit for Review"))</f>
        <v/>
      </c>
    </row>
    <row r="55" spans="2:74" ht="15.95" hidden="1" customHeight="1" x14ac:dyDescent="0.25">
      <c r="B55" s="698"/>
      <c r="C55" s="706"/>
      <c r="D55" s="707"/>
      <c r="E55" s="708"/>
      <c r="F55" s="710"/>
      <c r="G55" s="707"/>
      <c r="H55" s="707"/>
      <c r="I55" s="707"/>
      <c r="J55" s="700"/>
      <c r="K55" s="693"/>
      <c r="L55" s="692"/>
      <c r="M55" s="700"/>
      <c r="N55" s="706"/>
      <c r="O55" s="707"/>
      <c r="P55" s="707"/>
      <c r="Q55" s="708"/>
      <c r="R55" s="710"/>
      <c r="S55" s="707"/>
      <c r="T55" s="707"/>
      <c r="U55" s="708"/>
      <c r="V55" s="692"/>
      <c r="W55" s="693"/>
      <c r="X55" s="692"/>
      <c r="Y55" s="693"/>
      <c r="Z55" s="692"/>
      <c r="AA55" s="693"/>
      <c r="AB55" s="692"/>
      <c r="AC55" s="693"/>
      <c r="AD55" s="679"/>
      <c r="AE55" s="680"/>
      <c r="AF55" s="663"/>
      <c r="AG55" s="682"/>
      <c r="AH55" s="663"/>
      <c r="AI55" s="664"/>
      <c r="AJ55" s="668"/>
      <c r="AK55" s="669"/>
      <c r="AL55" s="669"/>
      <c r="AM55" s="670"/>
      <c r="AN55" s="674"/>
      <c r="AO55" s="675"/>
      <c r="AP55" s="675"/>
      <c r="AQ55" s="676"/>
      <c r="AR55" s="448"/>
      <c r="AT55" s="686"/>
      <c r="AU55" s="685"/>
      <c r="AV55" s="660"/>
      <c r="AW55" s="660"/>
      <c r="AX55" s="688"/>
      <c r="AY55" s="689"/>
      <c r="AZ55" s="689"/>
      <c r="BA55" s="689"/>
      <c r="BB55" s="689"/>
      <c r="BC55" s="689"/>
      <c r="BD55" s="689"/>
      <c r="BE55" s="685"/>
      <c r="BF55" s="683"/>
      <c r="BG55" s="654"/>
      <c r="BH55" s="654"/>
      <c r="BI55" s="685"/>
    </row>
    <row r="56" spans="2:74" ht="15.95" hidden="1" customHeight="1" x14ac:dyDescent="0.25">
      <c r="B56" s="698">
        <v>13</v>
      </c>
      <c r="C56" s="703"/>
      <c r="D56" s="704"/>
      <c r="E56" s="705"/>
      <c r="F56" s="709"/>
      <c r="G56" s="704"/>
      <c r="H56" s="704"/>
      <c r="I56" s="704"/>
      <c r="J56" s="699" t="str">
        <f>IF(OR(C56="Halogen",C56="Incandescent",C56="Exit Sign",F56=""),"",INDEX(CMLIGHTBASE[Base Watt 1],MATCH(F56,CMLIGHTBASE[Base Desc 1],0)))</f>
        <v/>
      </c>
      <c r="K56" s="691"/>
      <c r="L56" s="690"/>
      <c r="M56" s="699"/>
      <c r="N56" s="703"/>
      <c r="O56" s="704"/>
      <c r="P56" s="704"/>
      <c r="Q56" s="705"/>
      <c r="R56" s="709"/>
      <c r="S56" s="704"/>
      <c r="T56" s="704"/>
      <c r="U56" s="705"/>
      <c r="V56" s="690" t="str">
        <f t="shared" ref="V56" si="143">IF(N56="","",IF(ISNUMBER(SEARCH("Type",N56)),"","N/A"))</f>
        <v/>
      </c>
      <c r="W56" s="691"/>
      <c r="X56" s="690"/>
      <c r="Y56" s="691"/>
      <c r="Z56" s="690"/>
      <c r="AA56" s="691"/>
      <c r="AB56" s="690" t="str">
        <f t="shared" ref="AB56" si="144">IF(C56="Exit Sign", 8760,"")</f>
        <v/>
      </c>
      <c r="AC56" s="691"/>
      <c r="AD56" s="677"/>
      <c r="AE56" s="678"/>
      <c r="AF56" s="661"/>
      <c r="AG56" s="681"/>
      <c r="AH56" s="661"/>
      <c r="AI56" s="662"/>
      <c r="AJ56" s="665" t="str">
        <f>IF(OR(C56="",F56="",J56="",L56="",N56="",R56="",X56="",Z56="",AB56="",AF56="",AH56="",AD56=""),"",IFERROR(ROUND(IF((AV56-AW56)&lt;=0,0,IF(M02S02F32&lt;&gt;"",INDEX(SPACEHEAT[HIF],MATCH(M02S02F32,SHEAT,0))*(AV56-AW56),(AV56-AW56))),0),""))</f>
        <v/>
      </c>
      <c r="AK56" s="666"/>
      <c r="AL56" s="666"/>
      <c r="AM56" s="667"/>
      <c r="AN56" s="671" t="str">
        <f>IF(OR(C56="",F56="",J56="",L56="",N56="",R56="",X56="",Z56="",AB56="",AF56="",AH56="",AD56=""),"",IF(BI56&lt;&gt;"",BI56,MIN(IF(ISNUMBER(SEARCH("Type",N56)),BC56,BD56),AT56)))</f>
        <v/>
      </c>
      <c r="AO56" s="672"/>
      <c r="AP56" s="672"/>
      <c r="AQ56" s="673"/>
      <c r="AR56" s="448"/>
      <c r="AT56" s="686" t="str">
        <f t="shared" ref="AT56" si="145">IF(OR(C56="",F56="",J56="",L56="",N56="",R56="",X56="",Z56="",AB56="",AF56="",AH56="",AD56=""),"",(ROUND((AF56+AH56)*Z56,2)))</f>
        <v/>
      </c>
      <c r="AU56" s="685" t="str">
        <f>IF(OR(C56="",F56="",J56="",L56="",N56="",R56="",X56="",Z56="",AB56="",AF56="",AH56="",AD56=""),"",ROUND(AJ56*INDEX(ENDUSEALL[Factor],MATCH("Lighting",ENDUSEALL[End Use to Coincident Peak Demand Factors],0)),4))</f>
        <v/>
      </c>
      <c r="AV56" s="660" t="str">
        <f t="shared" ref="AV56" si="146">IF(OR(C56="",F56="",J56="",L56="",N56="",R56="",X56="",Z56="",AB56="",AF56="",AH56="",AD56=""),"",IF(C56="Incandescent",ROUND(0.7*J56*L56*AB56/1000,0),ROUND(L56*AB56*J56/1000,0)))</f>
        <v/>
      </c>
      <c r="AW56" s="660" t="str">
        <f t="shared" ref="AW56" si="147">IF(OR(C56="",F56="",J56="",L56="",N56="",R56="",X56="",Z56="",AB56="",AF56="",AH56="",AD56=""),"",IF(ISNUMBER(SEARCH("Network",N56)),ROUND(0.76*AB56*Z56*X56/1000,0),ROUND(X56*AB56*Z56/1000,0)))</f>
        <v/>
      </c>
      <c r="AX56" s="687" t="str">
        <f>IF(OR(C56="",F56="",J56="",L56="",N56="",R56="",X56="",Z56="",AB56="",AF56="",AH56="",AD56=""),"",
IF(AND(L56&gt;=Z56,ISNUMBER(SEARCH("Type",N56))),ROUND(Z56*LEFT(INDEX(CMLIGHTBASE[Measure Subgroup 2], MATCH(F56,CMLIGHTBASE[Base Desc 1],0)),2)*J56/LEFT(INDEX(CMLIGHTBASE[Measure Subgroup 2], MATCH(F56,CMLIGHTBASE[Base Desc 1],0)),2),0),
IF(AND(L56&lt;Z56,ISNUMBER(SEARCH("Type",N56))),ROUND(L56*LEFT(INDEX(CMLIGHTBASE[Measure Subgroup 2], MATCH(F56,CMLIGHTBASE[Base Desc 1],0)),2)*J56/LEFT(INDEX(CMLIGHTBASE[Measure Subgroup 2], MATCH(F56,CMLIGHTBASE[Base Desc 1],0)),2),0),
IF(AND(OR(ISNUMBER(SEARCH("Fixture",N56)),ISNUMBER(SEARCH("Kit",N56))),L56&gt;=Z56,ISNUMBER(SEARCH("Linear",C56))),Z56*J56,
IF(C56="Incandescent",0.7*J56*L56,L56*J56)))))</f>
        <v/>
      </c>
      <c r="AY56" s="689" t="str">
        <f>IF(OR(C56="",F56="",J56="",L56="",N56="",R56="",X56="",Z56="",AB56="",AF56="",AH56="",AD56=""),"",IF(AND(L56&gt;=Z56,ISNUMBER(SEARCH("Type",N56))),ROUND(Z56*LEFT(INDEX(CMLIGHTBASE[Measure Subgroup 2], MATCH(F56,CMLIGHTBASE[Base Desc 1],0)),2)*X56/V56,0),IF(AND(L56&lt;Z56,ISNUMBER(SEARCH("Type",N56))),ROUND(L56*LEFT(INDEX(CMLIGHTBASE[Measure Subgroup 2], MATCH(F56,CMLIGHTBASE[Base Desc 1],0)),2)*X56/V56,0),IF(OR(ISNUMBER(SEARCH("Fixture",N56)),ISNUMBER(SEARCH("Kit",N56))),Z56*X56,Z56*X56))))</f>
        <v/>
      </c>
      <c r="AZ56" s="689" t="str">
        <f t="shared" ref="AZ56" si="148">IF(OR(C56="Incandescent",C56="Halogen",C56="Exit Sign"),CONCATENATE(C56,"-",F56),IF(C56="Pulse Start Metal Halide",CONCATENATE("Metal Halide-",N56),CONCATENATE(C56,"-",N56)))</f>
        <v>-</v>
      </c>
      <c r="BA56" s="689" t="str">
        <f>IF(OR(C56="",F56="",J56="",L56="",N56="",R56="",X56="",Z56="",AB56="",AF56="",AH56="",AD56=""),"",
IF(ISNUMBER(SEARCH("Linear",C56)),INDEX(PMELIGHTLIN[Measure '#],MATCH(AZ56,PMELIGHTLIN[Measure Validator],0)),
IF(OR(C56="Metal Halide",C56="Pulse Start Metal Halide",C56="HP Sodium",C56="Mercury Vapor"),INDEX(PMELIGHTHID[Measure '#],MATCH(AZ56,PMELIGHTHID[Measure Validator],0)),
IF(OR(C56="Incandescent",C56="Halogen",C56="Exit Sign"),INDEX(PMELIGHTINCAN[Measure '#],MATCH(AZ56,PMELIGHTINCAN[Measure Validator],0))))))</f>
        <v/>
      </c>
      <c r="BB56" s="689" t="str">
        <f ca="1">IFERROR(IF(OR(C56="",F56="",J56="",L56="",N56="",R56="",X56="",Z56="",AB56="",AF56="",AH56="",AD56=""),"",
IF(AND(ISNUMBER(SEARCH("Linear",C56)),OR(ISNUMBER(SEARCH("Yes",M02S02F44)),M02S02F44="")),INDEX(PMELIGHTLIN[Inc Rate Unit FT],MATCH(AZ56,PMELIGHTLIN[Measure Validator],0)),
IF(AND(ISNUMBER(SEARCH("Linear",C56)),OR(ISNUMBER(SEARCH("No",M02S02F44)))),INDEX(PMELIGHTLIN[Inc Rate Unit PA],MATCH(AZ56,PMELIGHTLIN[Measure Validator],0)),
IF(OR(C56="Metal Halide",C56="Pulse Start Metal Halide",C56="HP Sodium",C56="Mercury Vapor"),INDEX(PMELIGHTHID[Inc Rate Unit],MATCH(AZ56,PMELIGHTHID[Measure Validator],0)),
IF(OR(C56="Incandescent",C56="Halogen",C56="Exit Sign"),INDEX(PMELIGHTINCAN[Inc Rate Unit],MATCH(AZ56,PMELIGHTINCAN[Measure Validator],0)))))))*
IF(AND(ISNUMBER(SEARCH("NO",M02S02F44)),M02S02F43&lt;=DATEVALUE("12/31/2021"),TODAY()&lt;=LIGHTING2021,OR(C56="Metal Halide",C56="Pulse Start Metal Halide",C56="HP Sodium",C56="Mercury Vapor",ISNUMBER(SEARCH("Linear",C56)))),LIGHTRATE21,1),"")</f>
        <v/>
      </c>
      <c r="BC56" s="689">
        <f>IFERROR(ROUND(IF(BA56="","",IF(OR(ISNUMBER(SEARCH("Yes",M02S02F44)),M02S02F44=""),IF(AND(L56&gt;=Z56,ISNUMBER(SEARCH("Type",N56))),BB56*(Z56*V56)*LEFT(INDEX(CMLIGHTBASE[Measure Subgroup 1], MATCH(F56,CMLIGHTBASE[Base Desc 1],0)),1),IF(AND(L56&lt;Z56,ISNUMBER(SEARCH("Type",N56))),BB56*(V56*L56)*LEFT(INDEX(CMLIGHTBASE[Measure Subgroup 1], MATCH(F56,CMLIGHTBASE[Base Desc 1],0)),1),0)),IF(ISNUMBER(SEARCH("Type",N56)),(AX56-AY56)*BB56,0))),2),0)</f>
        <v>0</v>
      </c>
      <c r="BD56" s="689" t="str">
        <f t="shared" ref="BD56" si="149">IFERROR((IF(BA56="","",IF(ISNUMBER(SEARCH("Type",N56)),0,IF(OR(C56="Incandescent",C56="Halogen",C56="Exit Sign"),Z56*BB56,IF(L56&gt;=Z56,((Z56*J56)-(Z56*X56)),((L56*J56)-(Z56*X56)))*BB56)))),0)</f>
        <v/>
      </c>
      <c r="BE56" s="685"/>
      <c r="BF56" s="683">
        <f t="shared" ref="BF56" si="150">IFERROR(ROUND(BH56*1.1,2),0)</f>
        <v>0</v>
      </c>
      <c r="BG56" s="654" t="str">
        <f>IF(OR(C56="",F56="",J56="",L56="",N56="",R56="",X56="",Z56="",AB56="",AF56="",AH56="",AD56=""),"",IF(BI56&lt;&gt;"",BI56,ROUND(BF56*BONUSADJ,2)))</f>
        <v/>
      </c>
      <c r="BH56" s="654" t="str">
        <f t="shared" ref="BH56" si="151">IF(OR(C56="",F56="",J56="",L56="",N56="",R56="",X56="",Z56="",AB56="",AF56="",AH56="",AD56=""),"",IF(BI56&lt;&gt;"",BI56,MIN(IF(ISNUMBER(SEARCH("Type",N56)),BC56,BD56),AT56)))</f>
        <v/>
      </c>
      <c r="BI56" s="684" t="str">
        <f t="shared" ref="BI56" si="152">IF(OR(C56="",F56="",J56="",L56="",N56="",R56="",X56="",Z56="",AB56="",AF56="",AH56="",AD56=""),"",IFERROR(IF(Z56&lt;&gt;L56,"One-for-One Replacement Only",IF(((J56*L56)-(X56*Z56))&lt;=0,"No Savings",IF((AX56-AY56)&lt;=0,"No Incentive",IF(AND(ISNUMBER(SEARCH("Linear",C56)),AD56&lt;50000),"Lamp Life Too Short","")))),"Submit for Review"))</f>
        <v/>
      </c>
    </row>
    <row r="57" spans="2:74" ht="15.95" hidden="1" customHeight="1" x14ac:dyDescent="0.25">
      <c r="B57" s="698"/>
      <c r="C57" s="706"/>
      <c r="D57" s="707"/>
      <c r="E57" s="708"/>
      <c r="F57" s="710"/>
      <c r="G57" s="707"/>
      <c r="H57" s="707"/>
      <c r="I57" s="707"/>
      <c r="J57" s="700"/>
      <c r="K57" s="693"/>
      <c r="L57" s="692"/>
      <c r="M57" s="700"/>
      <c r="N57" s="706"/>
      <c r="O57" s="707"/>
      <c r="P57" s="707"/>
      <c r="Q57" s="708"/>
      <c r="R57" s="710"/>
      <c r="S57" s="707"/>
      <c r="T57" s="707"/>
      <c r="U57" s="708"/>
      <c r="V57" s="692"/>
      <c r="W57" s="693"/>
      <c r="X57" s="692"/>
      <c r="Y57" s="693"/>
      <c r="Z57" s="692"/>
      <c r="AA57" s="693"/>
      <c r="AB57" s="692"/>
      <c r="AC57" s="693"/>
      <c r="AD57" s="679"/>
      <c r="AE57" s="680"/>
      <c r="AF57" s="663"/>
      <c r="AG57" s="682"/>
      <c r="AH57" s="663"/>
      <c r="AI57" s="664"/>
      <c r="AJ57" s="668"/>
      <c r="AK57" s="669"/>
      <c r="AL57" s="669"/>
      <c r="AM57" s="670"/>
      <c r="AN57" s="674"/>
      <c r="AO57" s="675"/>
      <c r="AP57" s="675"/>
      <c r="AQ57" s="676"/>
      <c r="AR57" s="448"/>
      <c r="AT57" s="686"/>
      <c r="AU57" s="685"/>
      <c r="AV57" s="660"/>
      <c r="AW57" s="660"/>
      <c r="AX57" s="688"/>
      <c r="AY57" s="689"/>
      <c r="AZ57" s="689"/>
      <c r="BA57" s="689"/>
      <c r="BB57" s="689"/>
      <c r="BC57" s="689"/>
      <c r="BD57" s="689"/>
      <c r="BE57" s="685"/>
      <c r="BF57" s="683"/>
      <c r="BG57" s="654"/>
      <c r="BH57" s="654"/>
      <c r="BI57" s="685"/>
    </row>
    <row r="58" spans="2:74" ht="15.95" hidden="1" customHeight="1" x14ac:dyDescent="0.25">
      <c r="B58" s="698">
        <v>14</v>
      </c>
      <c r="C58" s="703"/>
      <c r="D58" s="704"/>
      <c r="E58" s="705"/>
      <c r="F58" s="709"/>
      <c r="G58" s="704"/>
      <c r="H58" s="704"/>
      <c r="I58" s="704"/>
      <c r="J58" s="699" t="str">
        <f>IF(OR(C58="Halogen",C58="Incandescent",C58="Exit Sign",F58=""),"",INDEX(CMLIGHTBASE[Base Watt 1],MATCH(F58,CMLIGHTBASE[Base Desc 1],0)))</f>
        <v/>
      </c>
      <c r="K58" s="691"/>
      <c r="L58" s="690"/>
      <c r="M58" s="699"/>
      <c r="N58" s="703"/>
      <c r="O58" s="704"/>
      <c r="P58" s="704"/>
      <c r="Q58" s="705"/>
      <c r="R58" s="709"/>
      <c r="S58" s="704"/>
      <c r="T58" s="704"/>
      <c r="U58" s="705"/>
      <c r="V58" s="690" t="str">
        <f t="shared" ref="V58" si="153">IF(N58="","",IF(ISNUMBER(SEARCH("Type",N58)),"","N/A"))</f>
        <v/>
      </c>
      <c r="W58" s="691"/>
      <c r="X58" s="690"/>
      <c r="Y58" s="691"/>
      <c r="Z58" s="690"/>
      <c r="AA58" s="691"/>
      <c r="AB58" s="690" t="str">
        <f t="shared" ref="AB58" si="154">IF(C58="Exit Sign", 8760,"")</f>
        <v/>
      </c>
      <c r="AC58" s="691"/>
      <c r="AD58" s="677"/>
      <c r="AE58" s="678"/>
      <c r="AF58" s="661"/>
      <c r="AG58" s="681"/>
      <c r="AH58" s="661"/>
      <c r="AI58" s="662"/>
      <c r="AJ58" s="665" t="str">
        <f>IF(OR(C58="",F58="",J58="",L58="",N58="",R58="",X58="",Z58="",AB58="",AF58="",AH58="",AD58=""),"",IFERROR(ROUND(IF((AV58-AW58)&lt;=0,0,IF(M02S02F32&lt;&gt;"",INDEX(SPACEHEAT[HIF],MATCH(M02S02F32,SHEAT,0))*(AV58-AW58),(AV58-AW58))),0),""))</f>
        <v/>
      </c>
      <c r="AK58" s="666"/>
      <c r="AL58" s="666"/>
      <c r="AM58" s="667"/>
      <c r="AN58" s="671" t="str">
        <f>IF(OR(C58="",F58="",J58="",L58="",N58="",R58="",X58="",Z58="",AB58="",AF58="",AH58="",AD58=""),"",IF(BI58&lt;&gt;"",BI58,MIN(IF(ISNUMBER(SEARCH("Type",N58)),BC58,BD58),AT58)))</f>
        <v/>
      </c>
      <c r="AO58" s="672"/>
      <c r="AP58" s="672"/>
      <c r="AQ58" s="673"/>
      <c r="AR58" s="448"/>
      <c r="AT58" s="686" t="str">
        <f t="shared" ref="AT58" si="155">IF(OR(C58="",F58="",J58="",L58="",N58="",R58="",X58="",Z58="",AB58="",AF58="",AH58="",AD58=""),"",(ROUND((AF58+AH58)*Z58,2)))</f>
        <v/>
      </c>
      <c r="AU58" s="685" t="str">
        <f>IF(OR(C58="",F58="",J58="",L58="",N58="",R58="",X58="",Z58="",AB58="",AF58="",AH58="",AD58=""),"",ROUND(AJ58*INDEX(ENDUSEALL[Factor],MATCH("Lighting",ENDUSEALL[End Use to Coincident Peak Demand Factors],0)),4))</f>
        <v/>
      </c>
      <c r="AV58" s="660" t="str">
        <f t="shared" ref="AV58" si="156">IF(OR(C58="",F58="",J58="",L58="",N58="",R58="",X58="",Z58="",AB58="",AF58="",AH58="",AD58=""),"",IF(C58="Incandescent",ROUND(0.7*J58*L58*AB58/1000,0),ROUND(L58*AB58*J58/1000,0)))</f>
        <v/>
      </c>
      <c r="AW58" s="660" t="str">
        <f t="shared" ref="AW58" si="157">IF(OR(C58="",F58="",J58="",L58="",N58="",R58="",X58="",Z58="",AB58="",AF58="",AH58="",AD58=""),"",IF(ISNUMBER(SEARCH("Network",N58)),ROUND(0.76*AB58*Z58*X58/1000,0),ROUND(X58*AB58*Z58/1000,0)))</f>
        <v/>
      </c>
      <c r="AX58" s="687" t="str">
        <f>IF(OR(C58="",F58="",J58="",L58="",N58="",R58="",X58="",Z58="",AB58="",AF58="",AH58="",AD58=""),"",
IF(AND(L58&gt;=Z58,ISNUMBER(SEARCH("Type",N58))),ROUND(Z58*LEFT(INDEX(CMLIGHTBASE[Measure Subgroup 2], MATCH(F58,CMLIGHTBASE[Base Desc 1],0)),2)*J58/LEFT(INDEX(CMLIGHTBASE[Measure Subgroup 2], MATCH(F58,CMLIGHTBASE[Base Desc 1],0)),2),0),
IF(AND(L58&lt;Z58,ISNUMBER(SEARCH("Type",N58))),ROUND(L58*LEFT(INDEX(CMLIGHTBASE[Measure Subgroup 2], MATCH(F58,CMLIGHTBASE[Base Desc 1],0)),2)*J58/LEFT(INDEX(CMLIGHTBASE[Measure Subgroup 2], MATCH(F58,CMLIGHTBASE[Base Desc 1],0)),2),0),
IF(AND(OR(ISNUMBER(SEARCH("Fixture",N58)),ISNUMBER(SEARCH("Kit",N58))),L58&gt;=Z58,ISNUMBER(SEARCH("Linear",C58))),Z58*J58,
IF(C58="Incandescent",0.7*J58*L58,L58*J58)))))</f>
        <v/>
      </c>
      <c r="AY58" s="689" t="str">
        <f>IF(OR(C58="",F58="",J58="",L58="",N58="",R58="",X58="",Z58="",AB58="",AF58="",AH58="",AD58=""),"",IF(AND(L58&gt;=Z58,ISNUMBER(SEARCH("Type",N58))),ROUND(Z58*LEFT(INDEX(CMLIGHTBASE[Measure Subgroup 2], MATCH(F58,CMLIGHTBASE[Base Desc 1],0)),2)*X58/V58,0),IF(AND(L58&lt;Z58,ISNUMBER(SEARCH("Type",N58))),ROUND(L58*LEFT(INDEX(CMLIGHTBASE[Measure Subgroup 2], MATCH(F58,CMLIGHTBASE[Base Desc 1],0)),2)*X58/V58,0),IF(OR(ISNUMBER(SEARCH("Fixture",N58)),ISNUMBER(SEARCH("Kit",N58))),Z58*X58,Z58*X58))))</f>
        <v/>
      </c>
      <c r="AZ58" s="689" t="str">
        <f t="shared" ref="AZ58" si="158">IF(OR(C58="Incandescent",C58="Halogen",C58="Exit Sign"),CONCATENATE(C58,"-",F58),IF(C58="Pulse Start Metal Halide",CONCATENATE("Metal Halide-",N58),CONCATENATE(C58,"-",N58)))</f>
        <v>-</v>
      </c>
      <c r="BA58" s="689" t="str">
        <f>IF(OR(C58="",F58="",J58="",L58="",N58="",R58="",X58="",Z58="",AB58="",AF58="",AH58="",AD58=""),"",
IF(ISNUMBER(SEARCH("Linear",C58)),INDEX(PMELIGHTLIN[Measure '#],MATCH(AZ58,PMELIGHTLIN[Measure Validator],0)),
IF(OR(C58="Metal Halide",C58="Pulse Start Metal Halide",C58="HP Sodium",C58="Mercury Vapor"),INDEX(PMELIGHTHID[Measure '#],MATCH(AZ58,PMELIGHTHID[Measure Validator],0)),
IF(OR(C58="Incandescent",C58="Halogen",C58="Exit Sign"),INDEX(PMELIGHTINCAN[Measure '#],MATCH(AZ58,PMELIGHTINCAN[Measure Validator],0))))))</f>
        <v/>
      </c>
      <c r="BB58" s="689" t="str">
        <f ca="1">IFERROR(IF(OR(C58="",F58="",J58="",L58="",N58="",R58="",X58="",Z58="",AB58="",AF58="",AH58="",AD58=""),"",
IF(AND(ISNUMBER(SEARCH("Linear",C58)),OR(ISNUMBER(SEARCH("Yes",M02S02F44)),M02S02F44="")),INDEX(PMELIGHTLIN[Inc Rate Unit FT],MATCH(AZ58,PMELIGHTLIN[Measure Validator],0)),
IF(AND(ISNUMBER(SEARCH("Linear",C58)),OR(ISNUMBER(SEARCH("No",M02S02F44)))),INDEX(PMELIGHTLIN[Inc Rate Unit PA],MATCH(AZ58,PMELIGHTLIN[Measure Validator],0)),
IF(OR(C58="Metal Halide",C58="Pulse Start Metal Halide",C58="HP Sodium",C58="Mercury Vapor"),INDEX(PMELIGHTHID[Inc Rate Unit],MATCH(AZ58,PMELIGHTHID[Measure Validator],0)),
IF(OR(C58="Incandescent",C58="Halogen",C58="Exit Sign"),INDEX(PMELIGHTINCAN[Inc Rate Unit],MATCH(AZ58,PMELIGHTINCAN[Measure Validator],0)))))))*
IF(AND(ISNUMBER(SEARCH("NO",M02S02F44)),M02S02F43&lt;=DATEVALUE("12/31/2021"),TODAY()&lt;=LIGHTING2021,OR(C58="Metal Halide",C58="Pulse Start Metal Halide",C58="HP Sodium",C58="Mercury Vapor",ISNUMBER(SEARCH("Linear",C58)))),LIGHTRATE21,1),"")</f>
        <v/>
      </c>
      <c r="BC58" s="689">
        <f>IFERROR(ROUND(IF(BA58="","",IF(OR(ISNUMBER(SEARCH("Yes",M02S02F44)),M02S02F44=""),IF(AND(L58&gt;=Z58,ISNUMBER(SEARCH("Type",N58))),BB58*(Z58*V58)*LEFT(INDEX(CMLIGHTBASE[Measure Subgroup 1], MATCH(F58,CMLIGHTBASE[Base Desc 1],0)),1),IF(AND(L58&lt;Z58,ISNUMBER(SEARCH("Type",N58))),BB58*(V58*L58)*LEFT(INDEX(CMLIGHTBASE[Measure Subgroup 1], MATCH(F58,CMLIGHTBASE[Base Desc 1],0)),1),0)),IF(ISNUMBER(SEARCH("Type",N58)),(AX58-AY58)*BB58,0))),2),0)</f>
        <v>0</v>
      </c>
      <c r="BD58" s="689" t="str">
        <f t="shared" ref="BD58" si="159">IFERROR((IF(BA58="","",IF(ISNUMBER(SEARCH("Type",N58)),0,IF(OR(C58="Incandescent",C58="Halogen",C58="Exit Sign"),Z58*BB58,IF(L58&gt;=Z58,((Z58*J58)-(Z58*X58)),((L58*J58)-(Z58*X58)))*BB58)))),0)</f>
        <v/>
      </c>
      <c r="BE58" s="685"/>
      <c r="BF58" s="683">
        <f t="shared" ref="BF58" si="160">IFERROR(ROUND(BH58*1.1,2),0)</f>
        <v>0</v>
      </c>
      <c r="BG58" s="654" t="str">
        <f>IF(OR(C58="",F58="",J58="",L58="",N58="",R58="",X58="",Z58="",AB58="",AF58="",AH58="",AD58=""),"",IF(BI58&lt;&gt;"",BI58,ROUND(BF58*BONUSADJ,2)))</f>
        <v/>
      </c>
      <c r="BH58" s="654" t="str">
        <f t="shared" ref="BH58" si="161">IF(OR(C58="",F58="",J58="",L58="",N58="",R58="",X58="",Z58="",AB58="",AF58="",AH58="",AD58=""),"",IF(BI58&lt;&gt;"",BI58,MIN(IF(ISNUMBER(SEARCH("Type",N58)),BC58,BD58),AT58)))</f>
        <v/>
      </c>
      <c r="BI58" s="684" t="str">
        <f t="shared" ref="BI58" si="162">IF(OR(C58="",F58="",J58="",L58="",N58="",R58="",X58="",Z58="",AB58="",AF58="",AH58="",AD58=""),"",IFERROR(IF(Z58&lt;&gt;L58,"One-for-One Replacement Only",IF(((J58*L58)-(X58*Z58))&lt;=0,"No Savings",IF((AX58-AY58)&lt;=0,"No Incentive",IF(AND(ISNUMBER(SEARCH("Linear",C58)),AD58&lt;50000),"Lamp Life Too Short","")))),"Submit for Review"))</f>
        <v/>
      </c>
    </row>
    <row r="59" spans="2:74" ht="15.95" hidden="1" customHeight="1" x14ac:dyDescent="0.25">
      <c r="B59" s="698"/>
      <c r="C59" s="706"/>
      <c r="D59" s="707"/>
      <c r="E59" s="708"/>
      <c r="F59" s="710"/>
      <c r="G59" s="707"/>
      <c r="H59" s="707"/>
      <c r="I59" s="707"/>
      <c r="J59" s="700"/>
      <c r="K59" s="693"/>
      <c r="L59" s="692"/>
      <c r="M59" s="700"/>
      <c r="N59" s="706"/>
      <c r="O59" s="707"/>
      <c r="P59" s="707"/>
      <c r="Q59" s="708"/>
      <c r="R59" s="710"/>
      <c r="S59" s="707"/>
      <c r="T59" s="707"/>
      <c r="U59" s="708"/>
      <c r="V59" s="692"/>
      <c r="W59" s="693"/>
      <c r="X59" s="692"/>
      <c r="Y59" s="693"/>
      <c r="Z59" s="692"/>
      <c r="AA59" s="693"/>
      <c r="AB59" s="692"/>
      <c r="AC59" s="693"/>
      <c r="AD59" s="679"/>
      <c r="AE59" s="680"/>
      <c r="AF59" s="663"/>
      <c r="AG59" s="682"/>
      <c r="AH59" s="663"/>
      <c r="AI59" s="664"/>
      <c r="AJ59" s="668"/>
      <c r="AK59" s="669"/>
      <c r="AL59" s="669"/>
      <c r="AM59" s="670"/>
      <c r="AN59" s="674"/>
      <c r="AO59" s="675"/>
      <c r="AP59" s="675"/>
      <c r="AQ59" s="676"/>
      <c r="AR59" s="448"/>
      <c r="AT59" s="686"/>
      <c r="AU59" s="685"/>
      <c r="AV59" s="660"/>
      <c r="AW59" s="660"/>
      <c r="AX59" s="688"/>
      <c r="AY59" s="689"/>
      <c r="AZ59" s="689"/>
      <c r="BA59" s="689"/>
      <c r="BB59" s="689"/>
      <c r="BC59" s="689"/>
      <c r="BD59" s="689"/>
      <c r="BE59" s="685"/>
      <c r="BF59" s="683"/>
      <c r="BG59" s="654"/>
      <c r="BH59" s="654"/>
      <c r="BI59" s="685"/>
    </row>
    <row r="60" spans="2:74" ht="15.95" hidden="1" customHeight="1" x14ac:dyDescent="0.25">
      <c r="B60" s="698">
        <v>15</v>
      </c>
      <c r="C60" s="703"/>
      <c r="D60" s="704"/>
      <c r="E60" s="705"/>
      <c r="F60" s="709"/>
      <c r="G60" s="704"/>
      <c r="H60" s="704"/>
      <c r="I60" s="704"/>
      <c r="J60" s="699" t="str">
        <f>IF(OR(C60="Halogen",C60="Incandescent",C60="Exit Sign",F60=""),"",INDEX(CMLIGHTBASE[Base Watt 1],MATCH(F60,CMLIGHTBASE[Base Desc 1],0)))</f>
        <v/>
      </c>
      <c r="K60" s="691"/>
      <c r="L60" s="690"/>
      <c r="M60" s="699"/>
      <c r="N60" s="703"/>
      <c r="O60" s="704"/>
      <c r="P60" s="704"/>
      <c r="Q60" s="705"/>
      <c r="R60" s="709"/>
      <c r="S60" s="704"/>
      <c r="T60" s="704"/>
      <c r="U60" s="705"/>
      <c r="V60" s="690" t="str">
        <f t="shared" ref="V60" si="163">IF(N60="","",IF(ISNUMBER(SEARCH("Type",N60)),"","N/A"))</f>
        <v/>
      </c>
      <c r="W60" s="691"/>
      <c r="X60" s="690"/>
      <c r="Y60" s="691"/>
      <c r="Z60" s="690"/>
      <c r="AA60" s="691"/>
      <c r="AB60" s="690" t="str">
        <f t="shared" ref="AB60" si="164">IF(C60="Exit Sign", 8760,"")</f>
        <v/>
      </c>
      <c r="AC60" s="691"/>
      <c r="AD60" s="677"/>
      <c r="AE60" s="678"/>
      <c r="AF60" s="661"/>
      <c r="AG60" s="681"/>
      <c r="AH60" s="661"/>
      <c r="AI60" s="662"/>
      <c r="AJ60" s="665" t="str">
        <f>IF(OR(C60="",F60="",J60="",L60="",N60="",R60="",X60="",Z60="",AB60="",AF60="",AH60="",AD60=""),"",IFERROR(ROUND(IF((AV60-AW60)&lt;=0,0,IF(M02S02F32&lt;&gt;"",INDEX(SPACEHEAT[HIF],MATCH(M02S02F32,SHEAT,0))*(AV60-AW60),(AV60-AW60))),0),""))</f>
        <v/>
      </c>
      <c r="AK60" s="666"/>
      <c r="AL60" s="666"/>
      <c r="AM60" s="667"/>
      <c r="AN60" s="671" t="str">
        <f>IF(OR(C60="",F60="",J60="",L60="",N60="",R60="",X60="",Z60="",AB60="",AF60="",AH60="",AD60=""),"",IF(BI60&lt;&gt;"",BI60,MIN(IF(ISNUMBER(SEARCH("Type",N60)),BC60,BD60),AT60)))</f>
        <v/>
      </c>
      <c r="AO60" s="672"/>
      <c r="AP60" s="672"/>
      <c r="AQ60" s="673"/>
      <c r="AR60" s="448"/>
      <c r="AT60" s="686" t="str">
        <f t="shared" ref="AT60" si="165">IF(OR(C60="",F60="",J60="",L60="",N60="",R60="",X60="",Z60="",AB60="",AF60="",AH60="",AD60=""),"",(ROUND((AF60+AH60)*Z60,2)))</f>
        <v/>
      </c>
      <c r="AU60" s="685" t="str">
        <f>IF(OR(C60="",F60="",J60="",L60="",N60="",R60="",X60="",Z60="",AB60="",AF60="",AH60="",AD60=""),"",ROUND(AJ60*INDEX(ENDUSEALL[Factor],MATCH("Lighting",ENDUSEALL[End Use to Coincident Peak Demand Factors],0)),4))</f>
        <v/>
      </c>
      <c r="AV60" s="660" t="str">
        <f t="shared" ref="AV60" si="166">IF(OR(C60="",F60="",J60="",L60="",N60="",R60="",X60="",Z60="",AB60="",AF60="",AH60="",AD60=""),"",IF(C60="Incandescent",ROUND(0.7*J60*L60*AB60/1000,0),ROUND(L60*AB60*J60/1000,0)))</f>
        <v/>
      </c>
      <c r="AW60" s="660" t="str">
        <f t="shared" ref="AW60" si="167">IF(OR(C60="",F60="",J60="",L60="",N60="",R60="",X60="",Z60="",AB60="",AF60="",AH60="",AD60=""),"",IF(ISNUMBER(SEARCH("Network",N60)),ROUND(0.76*AB60*Z60*X60/1000,0),ROUND(X60*AB60*Z60/1000,0)))</f>
        <v/>
      </c>
      <c r="AX60" s="687" t="str">
        <f>IF(OR(C60="",F60="",J60="",L60="",N60="",R60="",X60="",Z60="",AB60="",AF60="",AH60="",AD60=""),"",
IF(AND(L60&gt;=Z60,ISNUMBER(SEARCH("Type",N60))),ROUND(Z60*LEFT(INDEX(CMLIGHTBASE[Measure Subgroup 2], MATCH(F60,CMLIGHTBASE[Base Desc 1],0)),2)*J60/LEFT(INDEX(CMLIGHTBASE[Measure Subgroup 2], MATCH(F60,CMLIGHTBASE[Base Desc 1],0)),2),0),
IF(AND(L60&lt;Z60,ISNUMBER(SEARCH("Type",N60))),ROUND(L60*LEFT(INDEX(CMLIGHTBASE[Measure Subgroup 2], MATCH(F60,CMLIGHTBASE[Base Desc 1],0)),2)*J60/LEFT(INDEX(CMLIGHTBASE[Measure Subgroup 2], MATCH(F60,CMLIGHTBASE[Base Desc 1],0)),2),0),
IF(AND(OR(ISNUMBER(SEARCH("Fixture",N60)),ISNUMBER(SEARCH("Kit",N60))),L60&gt;=Z60,ISNUMBER(SEARCH("Linear",C60))),Z60*J60,
IF(C60="Incandescent",0.7*J60*L60,L60*J60)))))</f>
        <v/>
      </c>
      <c r="AY60" s="689" t="str">
        <f>IF(OR(C60="",F60="",J60="",L60="",N60="",R60="",X60="",Z60="",AB60="",AF60="",AH60="",AD60=""),"",IF(AND(L60&gt;=Z60,ISNUMBER(SEARCH("Type",N60))),ROUND(Z60*LEFT(INDEX(CMLIGHTBASE[Measure Subgroup 2], MATCH(F60,CMLIGHTBASE[Base Desc 1],0)),2)*X60/V60,0),IF(AND(L60&lt;Z60,ISNUMBER(SEARCH("Type",N60))),ROUND(L60*LEFT(INDEX(CMLIGHTBASE[Measure Subgroup 2], MATCH(F60,CMLIGHTBASE[Base Desc 1],0)),2)*X60/V60,0),IF(OR(ISNUMBER(SEARCH("Fixture",N60)),ISNUMBER(SEARCH("Kit",N60))),Z60*X60,Z60*X60))))</f>
        <v/>
      </c>
      <c r="AZ60" s="689" t="str">
        <f t="shared" ref="AZ60" si="168">IF(OR(C60="Incandescent",C60="Halogen",C60="Exit Sign"),CONCATENATE(C60,"-",F60),IF(C60="Pulse Start Metal Halide",CONCATENATE("Metal Halide-",N60),CONCATENATE(C60,"-",N60)))</f>
        <v>-</v>
      </c>
      <c r="BA60" s="689" t="str">
        <f>IF(OR(C60="",F60="",J60="",L60="",N60="",R60="",X60="",Z60="",AB60="",AF60="",AH60="",AD60=""),"",
IF(ISNUMBER(SEARCH("Linear",C60)),INDEX(PMELIGHTLIN[Measure '#],MATCH(AZ60,PMELIGHTLIN[Measure Validator],0)),
IF(OR(C60="Metal Halide",C60="Pulse Start Metal Halide",C60="HP Sodium",C60="Mercury Vapor"),INDEX(PMELIGHTHID[Measure '#],MATCH(AZ60,PMELIGHTHID[Measure Validator],0)),
IF(OR(C60="Incandescent",C60="Halogen",C60="Exit Sign"),INDEX(PMELIGHTINCAN[Measure '#],MATCH(AZ60,PMELIGHTINCAN[Measure Validator],0))))))</f>
        <v/>
      </c>
      <c r="BB60" s="689" t="str">
        <f ca="1">IFERROR(IF(OR(C60="",F60="",J60="",L60="",N60="",R60="",X60="",Z60="",AB60="",AF60="",AH60="",AD60=""),"",
IF(AND(ISNUMBER(SEARCH("Linear",C60)),OR(ISNUMBER(SEARCH("Yes",M02S02F44)),M02S02F44="")),INDEX(PMELIGHTLIN[Inc Rate Unit FT],MATCH(AZ60,PMELIGHTLIN[Measure Validator],0)),
IF(AND(ISNUMBER(SEARCH("Linear",C60)),OR(ISNUMBER(SEARCH("No",M02S02F44)))),INDEX(PMELIGHTLIN[Inc Rate Unit PA],MATCH(AZ60,PMELIGHTLIN[Measure Validator],0)),
IF(OR(C60="Metal Halide",C60="Pulse Start Metal Halide",C60="HP Sodium",C60="Mercury Vapor"),INDEX(PMELIGHTHID[Inc Rate Unit],MATCH(AZ60,PMELIGHTHID[Measure Validator],0)),
IF(OR(C60="Incandescent",C60="Halogen",C60="Exit Sign"),INDEX(PMELIGHTINCAN[Inc Rate Unit],MATCH(AZ60,PMELIGHTINCAN[Measure Validator],0)))))))*
IF(AND(ISNUMBER(SEARCH("NO",M02S02F44)),M02S02F43&lt;=DATEVALUE("12/31/2021"),TODAY()&lt;=LIGHTING2021,OR(C60="Metal Halide",C60="Pulse Start Metal Halide",C60="HP Sodium",C60="Mercury Vapor",ISNUMBER(SEARCH("Linear",C60)))),LIGHTRATE21,1),"")</f>
        <v/>
      </c>
      <c r="BC60" s="689">
        <f>IFERROR(ROUND(IF(BA60="","",IF(OR(ISNUMBER(SEARCH("Yes",M02S02F44)),M02S02F44=""),IF(AND(L60&gt;=Z60,ISNUMBER(SEARCH("Type",N60))),BB60*(Z60*V60)*LEFT(INDEX(CMLIGHTBASE[Measure Subgroup 1], MATCH(F60,CMLIGHTBASE[Base Desc 1],0)),1),IF(AND(L60&lt;Z60,ISNUMBER(SEARCH("Type",N60))),BB60*(V60*L60)*LEFT(INDEX(CMLIGHTBASE[Measure Subgroup 1], MATCH(F60,CMLIGHTBASE[Base Desc 1],0)),1),0)),IF(ISNUMBER(SEARCH("Type",N60)),(AX60-AY60)*BB60,0))),2),0)</f>
        <v>0</v>
      </c>
      <c r="BD60" s="689" t="str">
        <f t="shared" ref="BD60" si="169">IFERROR((IF(BA60="","",IF(ISNUMBER(SEARCH("Type",N60)),0,IF(OR(C60="Incandescent",C60="Halogen",C60="Exit Sign"),Z60*BB60,IF(L60&gt;=Z60,((Z60*J60)-(Z60*X60)),((L60*J60)-(Z60*X60)))*BB60)))),0)</f>
        <v/>
      </c>
      <c r="BE60" s="685"/>
      <c r="BF60" s="683">
        <f t="shared" ref="BF60" si="170">IFERROR(ROUND(BH60*1.1,2),0)</f>
        <v>0</v>
      </c>
      <c r="BG60" s="654" t="str">
        <f>IF(OR(C60="",F60="",J60="",L60="",N60="",R60="",X60="",Z60="",AB60="",AF60="",AH60="",AD60=""),"",IF(BI60&lt;&gt;"",BI60,ROUND(BF60*BONUSADJ,2)))</f>
        <v/>
      </c>
      <c r="BH60" s="654" t="str">
        <f t="shared" ref="BH60" si="171">IF(OR(C60="",F60="",J60="",L60="",N60="",R60="",X60="",Z60="",AB60="",AF60="",AH60="",AD60=""),"",IF(BI60&lt;&gt;"",BI60,MIN(IF(ISNUMBER(SEARCH("Type",N60)),BC60,BD60),AT60)))</f>
        <v/>
      </c>
      <c r="BI60" s="684" t="str">
        <f t="shared" ref="BI60" si="172">IF(OR(C60="",F60="",J60="",L60="",N60="",R60="",X60="",Z60="",AB60="",AF60="",AH60="",AD60=""),"",IFERROR(IF(Z60&lt;&gt;L60,"One-for-One Replacement Only",IF(((J60*L60)-(X60*Z60))&lt;=0,"No Savings",IF((AX60-AY60)&lt;=0,"No Incentive",IF(AND(ISNUMBER(SEARCH("Linear",C60)),AD60&lt;50000),"Lamp Life Too Short","")))),"Submit for Review"))</f>
        <v/>
      </c>
    </row>
    <row r="61" spans="2:74" ht="15.95" hidden="1" customHeight="1" x14ac:dyDescent="0.25">
      <c r="B61" s="698"/>
      <c r="C61" s="706"/>
      <c r="D61" s="707"/>
      <c r="E61" s="708"/>
      <c r="F61" s="710"/>
      <c r="G61" s="707"/>
      <c r="H61" s="707"/>
      <c r="I61" s="707"/>
      <c r="J61" s="700"/>
      <c r="K61" s="693"/>
      <c r="L61" s="692"/>
      <c r="M61" s="700"/>
      <c r="N61" s="706"/>
      <c r="O61" s="707"/>
      <c r="P61" s="707"/>
      <c r="Q61" s="708"/>
      <c r="R61" s="710"/>
      <c r="S61" s="707"/>
      <c r="T61" s="707"/>
      <c r="U61" s="708"/>
      <c r="V61" s="692"/>
      <c r="W61" s="693"/>
      <c r="X61" s="692"/>
      <c r="Y61" s="693"/>
      <c r="Z61" s="692"/>
      <c r="AA61" s="693"/>
      <c r="AB61" s="692"/>
      <c r="AC61" s="693"/>
      <c r="AD61" s="679"/>
      <c r="AE61" s="680"/>
      <c r="AF61" s="663"/>
      <c r="AG61" s="682"/>
      <c r="AH61" s="663"/>
      <c r="AI61" s="664"/>
      <c r="AJ61" s="668"/>
      <c r="AK61" s="669"/>
      <c r="AL61" s="669"/>
      <c r="AM61" s="670"/>
      <c r="AN61" s="674"/>
      <c r="AO61" s="675"/>
      <c r="AP61" s="675"/>
      <c r="AQ61" s="676"/>
      <c r="AR61" s="448"/>
      <c r="AT61" s="686"/>
      <c r="AU61" s="685"/>
      <c r="AV61" s="660"/>
      <c r="AW61" s="660"/>
      <c r="AX61" s="688"/>
      <c r="AY61" s="689"/>
      <c r="AZ61" s="689"/>
      <c r="BA61" s="689"/>
      <c r="BB61" s="689"/>
      <c r="BC61" s="689"/>
      <c r="BD61" s="689"/>
      <c r="BE61" s="685"/>
      <c r="BF61" s="683"/>
      <c r="BG61" s="654"/>
      <c r="BH61" s="654"/>
      <c r="BI61" s="685"/>
    </row>
    <row r="62" spans="2:74" ht="15.95" hidden="1" customHeight="1" x14ac:dyDescent="0.25">
      <c r="B62" s="698">
        <v>16</v>
      </c>
      <c r="C62" s="703"/>
      <c r="D62" s="704"/>
      <c r="E62" s="705"/>
      <c r="F62" s="709"/>
      <c r="G62" s="704"/>
      <c r="H62" s="704"/>
      <c r="I62" s="704"/>
      <c r="J62" s="699" t="str">
        <f>IF(OR(C62="Halogen",C62="Incandescent",C62="Exit Sign",F62=""),"",INDEX(CMLIGHTBASE[Base Watt 1],MATCH(F62,CMLIGHTBASE[Base Desc 1],0)))</f>
        <v/>
      </c>
      <c r="K62" s="691"/>
      <c r="L62" s="690"/>
      <c r="M62" s="699"/>
      <c r="N62" s="703"/>
      <c r="O62" s="704"/>
      <c r="P62" s="704"/>
      <c r="Q62" s="705"/>
      <c r="R62" s="709"/>
      <c r="S62" s="704"/>
      <c r="T62" s="704"/>
      <c r="U62" s="705"/>
      <c r="V62" s="690" t="str">
        <f t="shared" ref="V62" si="173">IF(N62="","",IF(ISNUMBER(SEARCH("Type",N62)),"","N/A"))</f>
        <v/>
      </c>
      <c r="W62" s="691"/>
      <c r="X62" s="690"/>
      <c r="Y62" s="691"/>
      <c r="Z62" s="690"/>
      <c r="AA62" s="691"/>
      <c r="AB62" s="690" t="str">
        <f t="shared" ref="AB62" si="174">IF(C62="Exit Sign", 8760,"")</f>
        <v/>
      </c>
      <c r="AC62" s="691"/>
      <c r="AD62" s="677"/>
      <c r="AE62" s="678"/>
      <c r="AF62" s="661"/>
      <c r="AG62" s="681"/>
      <c r="AH62" s="661"/>
      <c r="AI62" s="662"/>
      <c r="AJ62" s="665" t="str">
        <f>IF(OR(C62="",F62="",J62="",L62="",N62="",R62="",X62="",Z62="",AB62="",AF62="",AH62="",AD62=""),"",IFERROR(ROUND(IF((AV62-AW62)&lt;=0,0,IF(M02S02F32&lt;&gt;"",INDEX(SPACEHEAT[HIF],MATCH(M02S02F32,SHEAT,0))*(AV62-AW62),(AV62-AW62))),0),""))</f>
        <v/>
      </c>
      <c r="AK62" s="666"/>
      <c r="AL62" s="666"/>
      <c r="AM62" s="667"/>
      <c r="AN62" s="671" t="str">
        <f>IF(OR(C62="",F62="",J62="",L62="",N62="",R62="",X62="",Z62="",AB62="",AF62="",AH62="",AD62=""),"",IF(BI62&lt;&gt;"",BI62,MIN(IF(ISNUMBER(SEARCH("Type",N62)),BC62,BD62),AT62)))</f>
        <v/>
      </c>
      <c r="AO62" s="672"/>
      <c r="AP62" s="672"/>
      <c r="AQ62" s="673"/>
      <c r="AR62" s="448"/>
      <c r="AT62" s="686" t="str">
        <f t="shared" ref="AT62" si="175">IF(OR(C62="",F62="",J62="",L62="",N62="",R62="",X62="",Z62="",AB62="",AF62="",AH62="",AD62=""),"",(ROUND((AF62+AH62)*Z62,2)))</f>
        <v/>
      </c>
      <c r="AU62" s="685" t="str">
        <f>IF(OR(C62="",F62="",J62="",L62="",N62="",R62="",X62="",Z62="",AB62="",AF62="",AH62="",AD62=""),"",ROUND(AJ62*INDEX(ENDUSEALL[Factor],MATCH("Lighting",ENDUSEALL[End Use to Coincident Peak Demand Factors],0)),4))</f>
        <v/>
      </c>
      <c r="AV62" s="660" t="str">
        <f t="shared" ref="AV62" si="176">IF(OR(C62="",F62="",J62="",L62="",N62="",R62="",X62="",Z62="",AB62="",AF62="",AH62="",AD62=""),"",IF(C62="Incandescent",ROUND(0.7*J62*L62*AB62/1000,0),ROUND(L62*AB62*J62/1000,0)))</f>
        <v/>
      </c>
      <c r="AW62" s="660" t="str">
        <f t="shared" ref="AW62" si="177">IF(OR(C62="",F62="",J62="",L62="",N62="",R62="",X62="",Z62="",AB62="",AF62="",AH62="",AD62=""),"",IF(ISNUMBER(SEARCH("Network",N62)),ROUND(0.76*AB62*Z62*X62/1000,0),ROUND(X62*AB62*Z62/1000,0)))</f>
        <v/>
      </c>
      <c r="AX62" s="687" t="str">
        <f>IF(OR(C62="",F62="",J62="",L62="",N62="",R62="",X62="",Z62="",AB62="",AF62="",AH62="",AD62=""),"",
IF(AND(L62&gt;=Z62,ISNUMBER(SEARCH("Type",N62))),ROUND(Z62*LEFT(INDEX(CMLIGHTBASE[Measure Subgroup 2], MATCH(F62,CMLIGHTBASE[Base Desc 1],0)),2)*J62/LEFT(INDEX(CMLIGHTBASE[Measure Subgroup 2], MATCH(F62,CMLIGHTBASE[Base Desc 1],0)),2),0),
IF(AND(L62&lt;Z62,ISNUMBER(SEARCH("Type",N62))),ROUND(L62*LEFT(INDEX(CMLIGHTBASE[Measure Subgroup 2], MATCH(F62,CMLIGHTBASE[Base Desc 1],0)),2)*J62/LEFT(INDEX(CMLIGHTBASE[Measure Subgroup 2], MATCH(F62,CMLIGHTBASE[Base Desc 1],0)),2),0),
IF(AND(OR(ISNUMBER(SEARCH("Fixture",N62)),ISNUMBER(SEARCH("Kit",N62))),L62&gt;=Z62,ISNUMBER(SEARCH("Linear",C62))),Z62*J62,
IF(C62="Incandescent",0.7*J62*L62,L62*J62)))))</f>
        <v/>
      </c>
      <c r="AY62" s="689" t="str">
        <f>IF(OR(C62="",F62="",J62="",L62="",N62="",R62="",X62="",Z62="",AB62="",AF62="",AH62="",AD62=""),"",IF(AND(L62&gt;=Z62,ISNUMBER(SEARCH("Type",N62))),ROUND(Z62*LEFT(INDEX(CMLIGHTBASE[Measure Subgroup 2], MATCH(F62,CMLIGHTBASE[Base Desc 1],0)),2)*X62/V62,0),IF(AND(L62&lt;Z62,ISNUMBER(SEARCH("Type",N62))),ROUND(L62*LEFT(INDEX(CMLIGHTBASE[Measure Subgroup 2], MATCH(F62,CMLIGHTBASE[Base Desc 1],0)),2)*X62/V62,0),IF(OR(ISNUMBER(SEARCH("Fixture",N62)),ISNUMBER(SEARCH("Kit",N62))),Z62*X62,Z62*X62))))</f>
        <v/>
      </c>
      <c r="AZ62" s="689" t="str">
        <f t="shared" ref="AZ62" si="178">IF(OR(C62="Incandescent",C62="Halogen",C62="Exit Sign"),CONCATENATE(C62,"-",F62),IF(C62="Pulse Start Metal Halide",CONCATENATE("Metal Halide-",N62),CONCATENATE(C62,"-",N62)))</f>
        <v>-</v>
      </c>
      <c r="BA62" s="689" t="str">
        <f>IF(OR(C62="",F62="",J62="",L62="",N62="",R62="",X62="",Z62="",AB62="",AF62="",AH62="",AD62=""),"",
IF(ISNUMBER(SEARCH("Linear",C62)),INDEX(PMELIGHTLIN[Measure '#],MATCH(AZ62,PMELIGHTLIN[Measure Validator],0)),
IF(OR(C62="Metal Halide",C62="Pulse Start Metal Halide",C62="HP Sodium",C62="Mercury Vapor"),INDEX(PMELIGHTHID[Measure '#],MATCH(AZ62,PMELIGHTHID[Measure Validator],0)),
IF(OR(C62="Incandescent",C62="Halogen",C62="Exit Sign"),INDEX(PMELIGHTINCAN[Measure '#],MATCH(AZ62,PMELIGHTINCAN[Measure Validator],0))))))</f>
        <v/>
      </c>
      <c r="BB62" s="689" t="str">
        <f ca="1">IFERROR(IF(OR(C62="",F62="",J62="",L62="",N62="",R62="",X62="",Z62="",AB62="",AF62="",AH62="",AD62=""),"",
IF(AND(ISNUMBER(SEARCH("Linear",C62)),OR(ISNUMBER(SEARCH("Yes",M02S02F44)),M02S02F44="")),INDEX(PMELIGHTLIN[Inc Rate Unit FT],MATCH(AZ62,PMELIGHTLIN[Measure Validator],0)),
IF(AND(ISNUMBER(SEARCH("Linear",C62)),OR(ISNUMBER(SEARCH("No",M02S02F44)))),INDEX(PMELIGHTLIN[Inc Rate Unit PA],MATCH(AZ62,PMELIGHTLIN[Measure Validator],0)),
IF(OR(C62="Metal Halide",C62="Pulse Start Metal Halide",C62="HP Sodium",C62="Mercury Vapor"),INDEX(PMELIGHTHID[Inc Rate Unit],MATCH(AZ62,PMELIGHTHID[Measure Validator],0)),
IF(OR(C62="Incandescent",C62="Halogen",C62="Exit Sign"),INDEX(PMELIGHTINCAN[Inc Rate Unit],MATCH(AZ62,PMELIGHTINCAN[Measure Validator],0)))))))*
IF(AND(ISNUMBER(SEARCH("NO",M02S02F44)),M02S02F43&lt;=DATEVALUE("12/31/2021"),TODAY()&lt;=LIGHTING2021,OR(C62="Metal Halide",C62="Pulse Start Metal Halide",C62="HP Sodium",C62="Mercury Vapor",ISNUMBER(SEARCH("Linear",C62)))),LIGHTRATE21,1),"")</f>
        <v/>
      </c>
      <c r="BC62" s="689">
        <f>IFERROR(ROUND(IF(BA62="","",IF(OR(ISNUMBER(SEARCH("Yes",M02S02F44)),M02S02F44=""),IF(AND(L62&gt;=Z62,ISNUMBER(SEARCH("Type",N62))),BB62*(Z62*V62)*LEFT(INDEX(CMLIGHTBASE[Measure Subgroup 1], MATCH(F62,CMLIGHTBASE[Base Desc 1],0)),1),IF(AND(L62&lt;Z62,ISNUMBER(SEARCH("Type",N62))),BB62*(V62*L62)*LEFT(INDEX(CMLIGHTBASE[Measure Subgroup 1], MATCH(F62,CMLIGHTBASE[Base Desc 1],0)),1),0)),IF(ISNUMBER(SEARCH("Type",N62)),(AX62-AY62)*BB62,0))),2),0)</f>
        <v>0</v>
      </c>
      <c r="BD62" s="689" t="str">
        <f t="shared" ref="BD62" si="179">IFERROR((IF(BA62="","",IF(ISNUMBER(SEARCH("Type",N62)),0,IF(OR(C62="Incandescent",C62="Halogen",C62="Exit Sign"),Z62*BB62,IF(L62&gt;=Z62,((Z62*J62)-(Z62*X62)),((L62*J62)-(Z62*X62)))*BB62)))),0)</f>
        <v/>
      </c>
      <c r="BE62" s="685"/>
      <c r="BF62" s="683">
        <f t="shared" ref="BF62" si="180">IFERROR(ROUND(BH62*1.1,2),0)</f>
        <v>0</v>
      </c>
      <c r="BG62" s="654" t="str">
        <f>IF(OR(C62="",F62="",J62="",L62="",N62="",R62="",X62="",Z62="",AB62="",AF62="",AH62="",AD62=""),"",IF(BI62&lt;&gt;"",BI62,ROUND(BF62*BONUSADJ,2)))</f>
        <v/>
      </c>
      <c r="BH62" s="654" t="str">
        <f t="shared" ref="BH62" si="181">IF(OR(C62="",F62="",J62="",L62="",N62="",R62="",X62="",Z62="",AB62="",AF62="",AH62="",AD62=""),"",IF(BI62&lt;&gt;"",BI62,MIN(IF(ISNUMBER(SEARCH("Type",N62)),BC62,BD62),AT62)))</f>
        <v/>
      </c>
      <c r="BI62" s="684" t="str">
        <f t="shared" ref="BI62" si="182">IF(OR(C62="",F62="",J62="",L62="",N62="",R62="",X62="",Z62="",AB62="",AF62="",AH62="",AD62=""),"",IFERROR(IF(Z62&lt;&gt;L62,"One-for-One Replacement Only",IF(((J62*L62)-(X62*Z62))&lt;=0,"No Savings",IF((AX62-AY62)&lt;=0,"No Incentive",IF(AND(ISNUMBER(SEARCH("Linear",C62)),AD62&lt;50000),"Lamp Life Too Short","")))),"Submit for Review"))</f>
        <v/>
      </c>
    </row>
    <row r="63" spans="2:74" ht="15.95" hidden="1" customHeight="1" x14ac:dyDescent="0.25">
      <c r="B63" s="698"/>
      <c r="C63" s="706"/>
      <c r="D63" s="707"/>
      <c r="E63" s="708"/>
      <c r="F63" s="710"/>
      <c r="G63" s="707"/>
      <c r="H63" s="707"/>
      <c r="I63" s="707"/>
      <c r="J63" s="700"/>
      <c r="K63" s="693"/>
      <c r="L63" s="692"/>
      <c r="M63" s="700"/>
      <c r="N63" s="706"/>
      <c r="O63" s="707"/>
      <c r="P63" s="707"/>
      <c r="Q63" s="708"/>
      <c r="R63" s="710"/>
      <c r="S63" s="707"/>
      <c r="T63" s="707"/>
      <c r="U63" s="708"/>
      <c r="V63" s="692"/>
      <c r="W63" s="693"/>
      <c r="X63" s="692"/>
      <c r="Y63" s="693"/>
      <c r="Z63" s="692"/>
      <c r="AA63" s="693"/>
      <c r="AB63" s="692"/>
      <c r="AC63" s="693"/>
      <c r="AD63" s="679"/>
      <c r="AE63" s="680"/>
      <c r="AF63" s="663"/>
      <c r="AG63" s="682"/>
      <c r="AH63" s="663"/>
      <c r="AI63" s="664"/>
      <c r="AJ63" s="668"/>
      <c r="AK63" s="669"/>
      <c r="AL63" s="669"/>
      <c r="AM63" s="670"/>
      <c r="AN63" s="674"/>
      <c r="AO63" s="675"/>
      <c r="AP63" s="675"/>
      <c r="AQ63" s="676"/>
      <c r="AR63" s="448"/>
      <c r="AT63" s="686"/>
      <c r="AU63" s="685"/>
      <c r="AV63" s="660"/>
      <c r="AW63" s="660"/>
      <c r="AX63" s="688"/>
      <c r="AY63" s="689"/>
      <c r="AZ63" s="689"/>
      <c r="BA63" s="689"/>
      <c r="BB63" s="689"/>
      <c r="BC63" s="689"/>
      <c r="BD63" s="689"/>
      <c r="BE63" s="685"/>
      <c r="BF63" s="683"/>
      <c r="BG63" s="654"/>
      <c r="BH63" s="654"/>
      <c r="BI63" s="685"/>
    </row>
    <row r="64" spans="2:74" ht="15.95" hidden="1" customHeight="1" x14ac:dyDescent="0.25">
      <c r="B64" s="698">
        <v>17</v>
      </c>
      <c r="C64" s="703"/>
      <c r="D64" s="704"/>
      <c r="E64" s="705"/>
      <c r="F64" s="709"/>
      <c r="G64" s="704"/>
      <c r="H64" s="704"/>
      <c r="I64" s="704"/>
      <c r="J64" s="699" t="str">
        <f>IF(OR(C64="Halogen",C64="Incandescent",C64="Exit Sign",F64=""),"",INDEX(CMLIGHTBASE[Base Watt 1],MATCH(F64,CMLIGHTBASE[Base Desc 1],0)))</f>
        <v/>
      </c>
      <c r="K64" s="691"/>
      <c r="L64" s="690"/>
      <c r="M64" s="699"/>
      <c r="N64" s="703"/>
      <c r="O64" s="704"/>
      <c r="P64" s="704"/>
      <c r="Q64" s="705"/>
      <c r="R64" s="709"/>
      <c r="S64" s="704"/>
      <c r="T64" s="704"/>
      <c r="U64" s="705"/>
      <c r="V64" s="690" t="str">
        <f t="shared" ref="V64" si="183">IF(N64="","",IF(ISNUMBER(SEARCH("Type",N64)),"","N/A"))</f>
        <v/>
      </c>
      <c r="W64" s="691"/>
      <c r="X64" s="690"/>
      <c r="Y64" s="691"/>
      <c r="Z64" s="690"/>
      <c r="AA64" s="691"/>
      <c r="AB64" s="690" t="str">
        <f t="shared" ref="AB64" si="184">IF(C64="Exit Sign", 8760,"")</f>
        <v/>
      </c>
      <c r="AC64" s="691"/>
      <c r="AD64" s="677"/>
      <c r="AE64" s="678"/>
      <c r="AF64" s="661"/>
      <c r="AG64" s="681"/>
      <c r="AH64" s="661"/>
      <c r="AI64" s="662"/>
      <c r="AJ64" s="665" t="str">
        <f>IF(OR(C64="",F64="",J64="",L64="",N64="",R64="",X64="",Z64="",AB64="",AF64="",AH64="",AD64=""),"",IFERROR(ROUND(IF((AV64-AW64)&lt;=0,0,IF(M02S02F32&lt;&gt;"",INDEX(SPACEHEAT[HIF],MATCH(M02S02F32,SHEAT,0))*(AV64-AW64),(AV64-AW64))),0),""))</f>
        <v/>
      </c>
      <c r="AK64" s="666"/>
      <c r="AL64" s="666"/>
      <c r="AM64" s="667"/>
      <c r="AN64" s="671" t="str">
        <f>IF(OR(C64="",F64="",J64="",L64="",N64="",R64="",X64="",Z64="",AB64="",AF64="",AH64="",AD64=""),"",IF(BI64&lt;&gt;"",BI64,MIN(IF(ISNUMBER(SEARCH("Type",N64)),BC64,BD64),AT64)))</f>
        <v/>
      </c>
      <c r="AO64" s="672"/>
      <c r="AP64" s="672"/>
      <c r="AQ64" s="673"/>
      <c r="AR64" s="448"/>
      <c r="AT64" s="686" t="str">
        <f t="shared" ref="AT64" si="185">IF(OR(C64="",F64="",J64="",L64="",N64="",R64="",X64="",Z64="",AB64="",AF64="",AH64="",AD64=""),"",(ROUND((AF64+AH64)*Z64,2)))</f>
        <v/>
      </c>
      <c r="AU64" s="685" t="str">
        <f>IF(OR(C64="",F64="",J64="",L64="",N64="",R64="",X64="",Z64="",AB64="",AF64="",AH64="",AD64=""),"",ROUND(AJ64*INDEX(ENDUSEALL[Factor],MATCH("Lighting",ENDUSEALL[End Use to Coincident Peak Demand Factors],0)),4))</f>
        <v/>
      </c>
      <c r="AV64" s="660" t="str">
        <f t="shared" ref="AV64" si="186">IF(OR(C64="",F64="",J64="",L64="",N64="",R64="",X64="",Z64="",AB64="",AF64="",AH64="",AD64=""),"",IF(C64="Incandescent",ROUND(0.7*J64*L64*AB64/1000,0),ROUND(L64*AB64*J64/1000,0)))</f>
        <v/>
      </c>
      <c r="AW64" s="660" t="str">
        <f t="shared" ref="AW64" si="187">IF(OR(C64="",F64="",J64="",L64="",N64="",R64="",X64="",Z64="",AB64="",AF64="",AH64="",AD64=""),"",IF(ISNUMBER(SEARCH("Network",N64)),ROUND(0.76*AB64*Z64*X64/1000,0),ROUND(X64*AB64*Z64/1000,0)))</f>
        <v/>
      </c>
      <c r="AX64" s="687" t="str">
        <f>IF(OR(C64="",F64="",J64="",L64="",N64="",R64="",X64="",Z64="",AB64="",AF64="",AH64="",AD64=""),"",
IF(AND(L64&gt;=Z64,ISNUMBER(SEARCH("Type",N64))),ROUND(Z64*LEFT(INDEX(CMLIGHTBASE[Measure Subgroup 2], MATCH(F64,CMLIGHTBASE[Base Desc 1],0)),2)*J64/LEFT(INDEX(CMLIGHTBASE[Measure Subgroup 2], MATCH(F64,CMLIGHTBASE[Base Desc 1],0)),2),0),
IF(AND(L64&lt;Z64,ISNUMBER(SEARCH("Type",N64))),ROUND(L64*LEFT(INDEX(CMLIGHTBASE[Measure Subgroup 2], MATCH(F64,CMLIGHTBASE[Base Desc 1],0)),2)*J64/LEFT(INDEX(CMLIGHTBASE[Measure Subgroup 2], MATCH(F64,CMLIGHTBASE[Base Desc 1],0)),2),0),
IF(AND(OR(ISNUMBER(SEARCH("Fixture",N64)),ISNUMBER(SEARCH("Kit",N64))),L64&gt;=Z64,ISNUMBER(SEARCH("Linear",C64))),Z64*J64,
IF(C64="Incandescent",0.7*J64*L64,L64*J64)))))</f>
        <v/>
      </c>
      <c r="AY64" s="689" t="str">
        <f>IF(OR(C64="",F64="",J64="",L64="",N64="",R64="",X64="",Z64="",AB64="",AF64="",AH64="",AD64=""),"",IF(AND(L64&gt;=Z64,ISNUMBER(SEARCH("Type",N64))),ROUND(Z64*LEFT(INDEX(CMLIGHTBASE[Measure Subgroup 2], MATCH(F64,CMLIGHTBASE[Base Desc 1],0)),2)*X64/V64,0),IF(AND(L64&lt;Z64,ISNUMBER(SEARCH("Type",N64))),ROUND(L64*LEFT(INDEX(CMLIGHTBASE[Measure Subgroup 2], MATCH(F64,CMLIGHTBASE[Base Desc 1],0)),2)*X64/V64,0),IF(OR(ISNUMBER(SEARCH("Fixture",N64)),ISNUMBER(SEARCH("Kit",N64))),Z64*X64,Z64*X64))))</f>
        <v/>
      </c>
      <c r="AZ64" s="689" t="str">
        <f t="shared" ref="AZ64" si="188">IF(OR(C64="Incandescent",C64="Halogen",C64="Exit Sign"),CONCATENATE(C64,"-",F64),IF(C64="Pulse Start Metal Halide",CONCATENATE("Metal Halide-",N64),CONCATENATE(C64,"-",N64)))</f>
        <v>-</v>
      </c>
      <c r="BA64" s="689" t="str">
        <f>IF(OR(C64="",F64="",J64="",L64="",N64="",R64="",X64="",Z64="",AB64="",AF64="",AH64="",AD64=""),"",
IF(ISNUMBER(SEARCH("Linear",C64)),INDEX(PMELIGHTLIN[Measure '#],MATCH(AZ64,PMELIGHTLIN[Measure Validator],0)),
IF(OR(C64="Metal Halide",C64="Pulse Start Metal Halide",C64="HP Sodium",C64="Mercury Vapor"),INDEX(PMELIGHTHID[Measure '#],MATCH(AZ64,PMELIGHTHID[Measure Validator],0)),
IF(OR(C64="Incandescent",C64="Halogen",C64="Exit Sign"),INDEX(PMELIGHTINCAN[Measure '#],MATCH(AZ64,PMELIGHTINCAN[Measure Validator],0))))))</f>
        <v/>
      </c>
      <c r="BB64" s="689" t="str">
        <f ca="1">IFERROR(IF(OR(C64="",F64="",J64="",L64="",N64="",R64="",X64="",Z64="",AB64="",AF64="",AH64="",AD64=""),"",
IF(AND(ISNUMBER(SEARCH("Linear",C64)),OR(ISNUMBER(SEARCH("Yes",M02S02F44)),M02S02F44="")),INDEX(PMELIGHTLIN[Inc Rate Unit FT],MATCH(AZ64,PMELIGHTLIN[Measure Validator],0)),
IF(AND(ISNUMBER(SEARCH("Linear",C64)),OR(ISNUMBER(SEARCH("No",M02S02F44)))),INDEX(PMELIGHTLIN[Inc Rate Unit PA],MATCH(AZ64,PMELIGHTLIN[Measure Validator],0)),
IF(OR(C64="Metal Halide",C64="Pulse Start Metal Halide",C64="HP Sodium",C64="Mercury Vapor"),INDEX(PMELIGHTHID[Inc Rate Unit],MATCH(AZ64,PMELIGHTHID[Measure Validator],0)),
IF(OR(C64="Incandescent",C64="Halogen",C64="Exit Sign"),INDEX(PMELIGHTINCAN[Inc Rate Unit],MATCH(AZ64,PMELIGHTINCAN[Measure Validator],0)))))))*
IF(AND(ISNUMBER(SEARCH("NO",M02S02F44)),M02S02F43&lt;=DATEVALUE("12/31/2021"),TODAY()&lt;=LIGHTING2021,OR(C64="Metal Halide",C64="Pulse Start Metal Halide",C64="HP Sodium",C64="Mercury Vapor",ISNUMBER(SEARCH("Linear",C64)))),LIGHTRATE21,1),"")</f>
        <v/>
      </c>
      <c r="BC64" s="689">
        <f>IFERROR(ROUND(IF(BA64="","",IF(OR(ISNUMBER(SEARCH("Yes",M02S02F44)),M02S02F44=""),IF(AND(L64&gt;=Z64,ISNUMBER(SEARCH("Type",N64))),BB64*(Z64*V64)*LEFT(INDEX(CMLIGHTBASE[Measure Subgroup 1], MATCH(F64,CMLIGHTBASE[Base Desc 1],0)),1),IF(AND(L64&lt;Z64,ISNUMBER(SEARCH("Type",N64))),BB64*(V64*L64)*LEFT(INDEX(CMLIGHTBASE[Measure Subgroup 1], MATCH(F64,CMLIGHTBASE[Base Desc 1],0)),1),0)),IF(ISNUMBER(SEARCH("Type",N64)),(AX64-AY64)*BB64,0))),2),0)</f>
        <v>0</v>
      </c>
      <c r="BD64" s="689" t="str">
        <f t="shared" ref="BD64" si="189">IFERROR((IF(BA64="","",IF(ISNUMBER(SEARCH("Type",N64)),0,IF(OR(C64="Incandescent",C64="Halogen",C64="Exit Sign"),Z64*BB64,IF(L64&gt;=Z64,((Z64*J64)-(Z64*X64)),((L64*J64)-(Z64*X64)))*BB64)))),0)</f>
        <v/>
      </c>
      <c r="BE64" s="685"/>
      <c r="BF64" s="683">
        <f t="shared" ref="BF64" si="190">IFERROR(ROUND(BH64*1.1,2),0)</f>
        <v>0</v>
      </c>
      <c r="BG64" s="654" t="str">
        <f>IF(OR(C64="",F64="",J64="",L64="",N64="",R64="",X64="",Z64="",AB64="",AF64="",AH64="",AD64=""),"",IF(BI64&lt;&gt;"",BI64,ROUND(BF64*BONUSADJ,2)))</f>
        <v/>
      </c>
      <c r="BH64" s="654" t="str">
        <f t="shared" ref="BH64" si="191">IF(OR(C64="",F64="",J64="",L64="",N64="",R64="",X64="",Z64="",AB64="",AF64="",AH64="",AD64=""),"",IF(BI64&lt;&gt;"",BI64,MIN(IF(ISNUMBER(SEARCH("Type",N64)),BC64,BD64),AT64)))</f>
        <v/>
      </c>
      <c r="BI64" s="684" t="str">
        <f t="shared" ref="BI64" si="192">IF(OR(C64="",F64="",J64="",L64="",N64="",R64="",X64="",Z64="",AB64="",AF64="",AH64="",AD64=""),"",IFERROR(IF(Z64&lt;&gt;L64,"One-for-One Replacement Only",IF(((J64*L64)-(X64*Z64))&lt;=0,"No Savings",IF((AX64-AY64)&lt;=0,"No Incentive",IF(AND(ISNUMBER(SEARCH("Linear",C64)),AD64&lt;50000),"Lamp Life Too Short","")))),"Submit for Review"))</f>
        <v/>
      </c>
    </row>
    <row r="65" spans="2:61" ht="15.95" hidden="1" customHeight="1" x14ac:dyDescent="0.25">
      <c r="B65" s="698"/>
      <c r="C65" s="706"/>
      <c r="D65" s="707"/>
      <c r="E65" s="708"/>
      <c r="F65" s="710"/>
      <c r="G65" s="707"/>
      <c r="H65" s="707"/>
      <c r="I65" s="707"/>
      <c r="J65" s="700"/>
      <c r="K65" s="693"/>
      <c r="L65" s="692"/>
      <c r="M65" s="700"/>
      <c r="N65" s="706"/>
      <c r="O65" s="707"/>
      <c r="P65" s="707"/>
      <c r="Q65" s="708"/>
      <c r="R65" s="710"/>
      <c r="S65" s="707"/>
      <c r="T65" s="707"/>
      <c r="U65" s="708"/>
      <c r="V65" s="692"/>
      <c r="W65" s="693"/>
      <c r="X65" s="692"/>
      <c r="Y65" s="693"/>
      <c r="Z65" s="692"/>
      <c r="AA65" s="693"/>
      <c r="AB65" s="692"/>
      <c r="AC65" s="693"/>
      <c r="AD65" s="679"/>
      <c r="AE65" s="680"/>
      <c r="AF65" s="663"/>
      <c r="AG65" s="682"/>
      <c r="AH65" s="663"/>
      <c r="AI65" s="664"/>
      <c r="AJ65" s="668"/>
      <c r="AK65" s="669"/>
      <c r="AL65" s="669"/>
      <c r="AM65" s="670"/>
      <c r="AN65" s="674"/>
      <c r="AO65" s="675"/>
      <c r="AP65" s="675"/>
      <c r="AQ65" s="676"/>
      <c r="AR65" s="448"/>
      <c r="AT65" s="686"/>
      <c r="AU65" s="685"/>
      <c r="AV65" s="660"/>
      <c r="AW65" s="660"/>
      <c r="AX65" s="688"/>
      <c r="AY65" s="689"/>
      <c r="AZ65" s="689"/>
      <c r="BA65" s="689"/>
      <c r="BB65" s="689"/>
      <c r="BC65" s="689"/>
      <c r="BD65" s="689"/>
      <c r="BE65" s="685"/>
      <c r="BF65" s="683"/>
      <c r="BG65" s="654"/>
      <c r="BH65" s="654"/>
      <c r="BI65" s="685"/>
    </row>
    <row r="66" spans="2:61" ht="15.95" hidden="1" customHeight="1" x14ac:dyDescent="0.25">
      <c r="B66" s="698">
        <v>18</v>
      </c>
      <c r="C66" s="703"/>
      <c r="D66" s="704"/>
      <c r="E66" s="705"/>
      <c r="F66" s="709"/>
      <c r="G66" s="704"/>
      <c r="H66" s="704"/>
      <c r="I66" s="704"/>
      <c r="J66" s="699" t="str">
        <f>IF(OR(C66="Halogen",C66="Incandescent",C66="Exit Sign",F66=""),"",INDEX(CMLIGHTBASE[Base Watt 1],MATCH(F66,CMLIGHTBASE[Base Desc 1],0)))</f>
        <v/>
      </c>
      <c r="K66" s="691"/>
      <c r="L66" s="690"/>
      <c r="M66" s="699"/>
      <c r="N66" s="703"/>
      <c r="O66" s="704"/>
      <c r="P66" s="704"/>
      <c r="Q66" s="705"/>
      <c r="R66" s="709"/>
      <c r="S66" s="704"/>
      <c r="T66" s="704"/>
      <c r="U66" s="705"/>
      <c r="V66" s="690" t="str">
        <f t="shared" ref="V66" si="193">IF(N66="","",IF(ISNUMBER(SEARCH("Type",N66)),"","N/A"))</f>
        <v/>
      </c>
      <c r="W66" s="691"/>
      <c r="X66" s="690"/>
      <c r="Y66" s="691"/>
      <c r="Z66" s="690"/>
      <c r="AA66" s="691"/>
      <c r="AB66" s="690" t="str">
        <f t="shared" ref="AB66" si="194">IF(C66="Exit Sign", 8760,"")</f>
        <v/>
      </c>
      <c r="AC66" s="691"/>
      <c r="AD66" s="677"/>
      <c r="AE66" s="678"/>
      <c r="AF66" s="661"/>
      <c r="AG66" s="681"/>
      <c r="AH66" s="661"/>
      <c r="AI66" s="662"/>
      <c r="AJ66" s="665" t="str">
        <f>IF(OR(C66="",F66="",J66="",L66="",N66="",R66="",X66="",Z66="",AB66="",AF66="",AH66="",AD66=""),"",IFERROR(ROUND(IF((AV66-AW66)&lt;=0,0,IF(M02S02F32&lt;&gt;"",INDEX(SPACEHEAT[HIF],MATCH(M02S02F32,SHEAT,0))*(AV66-AW66),(AV66-AW66))),0),""))</f>
        <v/>
      </c>
      <c r="AK66" s="666"/>
      <c r="AL66" s="666"/>
      <c r="AM66" s="667"/>
      <c r="AN66" s="671" t="str">
        <f>IF(OR(C66="",F66="",J66="",L66="",N66="",R66="",X66="",Z66="",AB66="",AF66="",AH66="",AD66=""),"",IF(BI66&lt;&gt;"",BI66,MIN(IF(ISNUMBER(SEARCH("Type",N66)),BC66,BD66),AT66)))</f>
        <v/>
      </c>
      <c r="AO66" s="672"/>
      <c r="AP66" s="672"/>
      <c r="AQ66" s="673"/>
      <c r="AR66" s="448"/>
      <c r="AT66" s="686" t="str">
        <f t="shared" ref="AT66" si="195">IF(OR(C66="",F66="",J66="",L66="",N66="",R66="",X66="",Z66="",AB66="",AF66="",AH66="",AD66=""),"",(ROUND((AF66+AH66)*Z66,2)))</f>
        <v/>
      </c>
      <c r="AU66" s="685" t="str">
        <f>IF(OR(C66="",F66="",J66="",L66="",N66="",R66="",X66="",Z66="",AB66="",AF66="",AH66="",AD66=""),"",ROUND(AJ66*INDEX(ENDUSEALL[Factor],MATCH("Lighting",ENDUSEALL[End Use to Coincident Peak Demand Factors],0)),4))</f>
        <v/>
      </c>
      <c r="AV66" s="660" t="str">
        <f t="shared" ref="AV66" si="196">IF(OR(C66="",F66="",J66="",L66="",N66="",R66="",X66="",Z66="",AB66="",AF66="",AH66="",AD66=""),"",IF(C66="Incandescent",ROUND(0.7*J66*L66*AB66/1000,0),ROUND(L66*AB66*J66/1000,0)))</f>
        <v/>
      </c>
      <c r="AW66" s="660" t="str">
        <f t="shared" ref="AW66" si="197">IF(OR(C66="",F66="",J66="",L66="",N66="",R66="",X66="",Z66="",AB66="",AF66="",AH66="",AD66=""),"",IF(ISNUMBER(SEARCH("Network",N66)),ROUND(0.76*AB66*Z66*X66/1000,0),ROUND(X66*AB66*Z66/1000,0)))</f>
        <v/>
      </c>
      <c r="AX66" s="687" t="str">
        <f>IF(OR(C66="",F66="",J66="",L66="",N66="",R66="",X66="",Z66="",AB66="",AF66="",AH66="",AD66=""),"",
IF(AND(L66&gt;=Z66,ISNUMBER(SEARCH("Type",N66))),ROUND(Z66*LEFT(INDEX(CMLIGHTBASE[Measure Subgroup 2], MATCH(F66,CMLIGHTBASE[Base Desc 1],0)),2)*J66/LEFT(INDEX(CMLIGHTBASE[Measure Subgroup 2], MATCH(F66,CMLIGHTBASE[Base Desc 1],0)),2),0),
IF(AND(L66&lt;Z66,ISNUMBER(SEARCH("Type",N66))),ROUND(L66*LEFT(INDEX(CMLIGHTBASE[Measure Subgroup 2], MATCH(F66,CMLIGHTBASE[Base Desc 1],0)),2)*J66/LEFT(INDEX(CMLIGHTBASE[Measure Subgroup 2], MATCH(F66,CMLIGHTBASE[Base Desc 1],0)),2),0),
IF(AND(OR(ISNUMBER(SEARCH("Fixture",N66)),ISNUMBER(SEARCH("Kit",N66))),L66&gt;=Z66,ISNUMBER(SEARCH("Linear",C66))),Z66*J66,
IF(C66="Incandescent",0.7*J66*L66,L66*J66)))))</f>
        <v/>
      </c>
      <c r="AY66" s="689" t="str">
        <f>IF(OR(C66="",F66="",J66="",L66="",N66="",R66="",X66="",Z66="",AB66="",AF66="",AH66="",AD66=""),"",IF(AND(L66&gt;=Z66,ISNUMBER(SEARCH("Type",N66))),ROUND(Z66*LEFT(INDEX(CMLIGHTBASE[Measure Subgroup 2], MATCH(F66,CMLIGHTBASE[Base Desc 1],0)),2)*X66/V66,0),IF(AND(L66&lt;Z66,ISNUMBER(SEARCH("Type",N66))),ROUND(L66*LEFT(INDEX(CMLIGHTBASE[Measure Subgroup 2], MATCH(F66,CMLIGHTBASE[Base Desc 1],0)),2)*X66/V66,0),IF(OR(ISNUMBER(SEARCH("Fixture",N66)),ISNUMBER(SEARCH("Kit",N66))),Z66*X66,Z66*X66))))</f>
        <v/>
      </c>
      <c r="AZ66" s="689" t="str">
        <f t="shared" ref="AZ66" si="198">IF(OR(C66="Incandescent",C66="Halogen",C66="Exit Sign"),CONCATENATE(C66,"-",F66),IF(C66="Pulse Start Metal Halide",CONCATENATE("Metal Halide-",N66),CONCATENATE(C66,"-",N66)))</f>
        <v>-</v>
      </c>
      <c r="BA66" s="689" t="str">
        <f>IF(OR(C66="",F66="",J66="",L66="",N66="",R66="",X66="",Z66="",AB66="",AF66="",AH66="",AD66=""),"",
IF(ISNUMBER(SEARCH("Linear",C66)),INDEX(PMELIGHTLIN[Measure '#],MATCH(AZ66,PMELIGHTLIN[Measure Validator],0)),
IF(OR(C66="Metal Halide",C66="Pulse Start Metal Halide",C66="HP Sodium",C66="Mercury Vapor"),INDEX(PMELIGHTHID[Measure '#],MATCH(AZ66,PMELIGHTHID[Measure Validator],0)),
IF(OR(C66="Incandescent",C66="Halogen",C66="Exit Sign"),INDEX(PMELIGHTINCAN[Measure '#],MATCH(AZ66,PMELIGHTINCAN[Measure Validator],0))))))</f>
        <v/>
      </c>
      <c r="BB66" s="689" t="str">
        <f ca="1">IFERROR(IF(OR(C66="",F66="",J66="",L66="",N66="",R66="",X66="",Z66="",AB66="",AF66="",AH66="",AD66=""),"",
IF(AND(ISNUMBER(SEARCH("Linear",C66)),OR(ISNUMBER(SEARCH("Yes",M02S02F44)),M02S02F44="")),INDEX(PMELIGHTLIN[Inc Rate Unit FT],MATCH(AZ66,PMELIGHTLIN[Measure Validator],0)),
IF(AND(ISNUMBER(SEARCH("Linear",C66)),OR(ISNUMBER(SEARCH("No",M02S02F44)))),INDEX(PMELIGHTLIN[Inc Rate Unit PA],MATCH(AZ66,PMELIGHTLIN[Measure Validator],0)),
IF(OR(C66="Metal Halide",C66="Pulse Start Metal Halide",C66="HP Sodium",C66="Mercury Vapor"),INDEX(PMELIGHTHID[Inc Rate Unit],MATCH(AZ66,PMELIGHTHID[Measure Validator],0)),
IF(OR(C66="Incandescent",C66="Halogen",C66="Exit Sign"),INDEX(PMELIGHTINCAN[Inc Rate Unit],MATCH(AZ66,PMELIGHTINCAN[Measure Validator],0)))))))*
IF(AND(ISNUMBER(SEARCH("NO",M02S02F44)),M02S02F43&lt;=DATEVALUE("12/31/2021"),TODAY()&lt;=LIGHTING2021,OR(C66="Metal Halide",C66="Pulse Start Metal Halide",C66="HP Sodium",C66="Mercury Vapor",ISNUMBER(SEARCH("Linear",C66)))),LIGHTRATE21,1),"")</f>
        <v/>
      </c>
      <c r="BC66" s="689">
        <f>IFERROR(ROUND(IF(BA66="","",IF(OR(ISNUMBER(SEARCH("Yes",M02S02F44)),M02S02F44=""),IF(AND(L66&gt;=Z66,ISNUMBER(SEARCH("Type",N66))),BB66*(Z66*V66)*LEFT(INDEX(CMLIGHTBASE[Measure Subgroup 1], MATCH(F66,CMLIGHTBASE[Base Desc 1],0)),1),IF(AND(L66&lt;Z66,ISNUMBER(SEARCH("Type",N66))),BB66*(V66*L66)*LEFT(INDEX(CMLIGHTBASE[Measure Subgroup 1], MATCH(F66,CMLIGHTBASE[Base Desc 1],0)),1),0)),IF(ISNUMBER(SEARCH("Type",N66)),(AX66-AY66)*BB66,0))),2),0)</f>
        <v>0</v>
      </c>
      <c r="BD66" s="689" t="str">
        <f t="shared" ref="BD66" si="199">IFERROR((IF(BA66="","",IF(ISNUMBER(SEARCH("Type",N66)),0,IF(OR(C66="Incandescent",C66="Halogen",C66="Exit Sign"),Z66*BB66,IF(L66&gt;=Z66,((Z66*J66)-(Z66*X66)),((L66*J66)-(Z66*X66)))*BB66)))),0)</f>
        <v/>
      </c>
      <c r="BE66" s="685"/>
      <c r="BF66" s="683">
        <f t="shared" ref="BF66" si="200">IFERROR(ROUND(BH66*1.1,2),0)</f>
        <v>0</v>
      </c>
      <c r="BG66" s="654" t="str">
        <f>IF(OR(C66="",F66="",J66="",L66="",N66="",R66="",X66="",Z66="",AB66="",AF66="",AH66="",AD66=""),"",IF(BI66&lt;&gt;"",BI66,ROUND(BF66*BONUSADJ,2)))</f>
        <v/>
      </c>
      <c r="BH66" s="654" t="str">
        <f t="shared" ref="BH66" si="201">IF(OR(C66="",F66="",J66="",L66="",N66="",R66="",X66="",Z66="",AB66="",AF66="",AH66="",AD66=""),"",IF(BI66&lt;&gt;"",BI66,MIN(IF(ISNUMBER(SEARCH("Type",N66)),BC66,BD66),AT66)))</f>
        <v/>
      </c>
      <c r="BI66" s="684" t="str">
        <f t="shared" ref="BI66" si="202">IF(OR(C66="",F66="",J66="",L66="",N66="",R66="",X66="",Z66="",AB66="",AF66="",AH66="",AD66=""),"",IFERROR(IF(Z66&lt;&gt;L66,"One-for-One Replacement Only",IF(((J66*L66)-(X66*Z66))&lt;=0,"No Savings",IF((AX66-AY66)&lt;=0,"No Incentive",IF(AND(ISNUMBER(SEARCH("Linear",C66)),AD66&lt;50000),"Lamp Life Too Short","")))),"Submit for Review"))</f>
        <v/>
      </c>
    </row>
    <row r="67" spans="2:61" ht="15.95" hidden="1" customHeight="1" x14ac:dyDescent="0.25">
      <c r="B67" s="698"/>
      <c r="C67" s="706"/>
      <c r="D67" s="707"/>
      <c r="E67" s="708"/>
      <c r="F67" s="710"/>
      <c r="G67" s="707"/>
      <c r="H67" s="707"/>
      <c r="I67" s="707"/>
      <c r="J67" s="700"/>
      <c r="K67" s="693"/>
      <c r="L67" s="692"/>
      <c r="M67" s="700"/>
      <c r="N67" s="706"/>
      <c r="O67" s="707"/>
      <c r="P67" s="707"/>
      <c r="Q67" s="708"/>
      <c r="R67" s="710"/>
      <c r="S67" s="707"/>
      <c r="T67" s="707"/>
      <c r="U67" s="708"/>
      <c r="V67" s="692"/>
      <c r="W67" s="693"/>
      <c r="X67" s="692"/>
      <c r="Y67" s="693"/>
      <c r="Z67" s="692"/>
      <c r="AA67" s="693"/>
      <c r="AB67" s="692"/>
      <c r="AC67" s="693"/>
      <c r="AD67" s="679"/>
      <c r="AE67" s="680"/>
      <c r="AF67" s="663"/>
      <c r="AG67" s="682"/>
      <c r="AH67" s="663"/>
      <c r="AI67" s="664"/>
      <c r="AJ67" s="668"/>
      <c r="AK67" s="669"/>
      <c r="AL67" s="669"/>
      <c r="AM67" s="670"/>
      <c r="AN67" s="674"/>
      <c r="AO67" s="675"/>
      <c r="AP67" s="675"/>
      <c r="AQ67" s="676"/>
      <c r="AR67" s="448"/>
      <c r="AT67" s="686"/>
      <c r="AU67" s="685"/>
      <c r="AV67" s="660"/>
      <c r="AW67" s="660"/>
      <c r="AX67" s="688"/>
      <c r="AY67" s="689"/>
      <c r="AZ67" s="689"/>
      <c r="BA67" s="689"/>
      <c r="BB67" s="689"/>
      <c r="BC67" s="689"/>
      <c r="BD67" s="689"/>
      <c r="BE67" s="685"/>
      <c r="BF67" s="683"/>
      <c r="BG67" s="654"/>
      <c r="BH67" s="654"/>
      <c r="BI67" s="685"/>
    </row>
    <row r="68" spans="2:61" ht="15.95" hidden="1" customHeight="1" x14ac:dyDescent="0.25">
      <c r="B68" s="698">
        <v>19</v>
      </c>
      <c r="C68" s="703"/>
      <c r="D68" s="704"/>
      <c r="E68" s="705"/>
      <c r="F68" s="709"/>
      <c r="G68" s="704"/>
      <c r="H68" s="704"/>
      <c r="I68" s="704"/>
      <c r="J68" s="699" t="str">
        <f>IF(OR(C68="Halogen",C68="Incandescent",C68="Exit Sign",F68=""),"",INDEX(CMLIGHTBASE[Base Watt 1],MATCH(F68,CMLIGHTBASE[Base Desc 1],0)))</f>
        <v/>
      </c>
      <c r="K68" s="691"/>
      <c r="L68" s="690"/>
      <c r="M68" s="699"/>
      <c r="N68" s="703"/>
      <c r="O68" s="704"/>
      <c r="P68" s="704"/>
      <c r="Q68" s="705"/>
      <c r="R68" s="709"/>
      <c r="S68" s="704"/>
      <c r="T68" s="704"/>
      <c r="U68" s="705"/>
      <c r="V68" s="690" t="str">
        <f t="shared" ref="V68" si="203">IF(N68="","",IF(ISNUMBER(SEARCH("Type",N68)),"","N/A"))</f>
        <v/>
      </c>
      <c r="W68" s="691"/>
      <c r="X68" s="690"/>
      <c r="Y68" s="691"/>
      <c r="Z68" s="690"/>
      <c r="AA68" s="691"/>
      <c r="AB68" s="690" t="str">
        <f t="shared" ref="AB68" si="204">IF(C68="Exit Sign", 8760,"")</f>
        <v/>
      </c>
      <c r="AC68" s="691"/>
      <c r="AD68" s="677"/>
      <c r="AE68" s="678"/>
      <c r="AF68" s="661"/>
      <c r="AG68" s="681"/>
      <c r="AH68" s="661"/>
      <c r="AI68" s="662"/>
      <c r="AJ68" s="665" t="str">
        <f>IF(OR(C68="",F68="",J68="",L68="",N68="",R68="",X68="",Z68="",AB68="",AF68="",AH68="",AD68=""),"",IFERROR(ROUND(IF((AV68-AW68)&lt;=0,0,IF(M02S02F32&lt;&gt;"",INDEX(SPACEHEAT[HIF],MATCH(M02S02F32,SHEAT,0))*(AV68-AW68),(AV68-AW68))),0),""))</f>
        <v/>
      </c>
      <c r="AK68" s="666"/>
      <c r="AL68" s="666"/>
      <c r="AM68" s="667"/>
      <c r="AN68" s="671" t="str">
        <f>IF(OR(C68="",F68="",J68="",L68="",N68="",R68="",X68="",Z68="",AB68="",AF68="",AH68="",AD68=""),"",IF(BI68&lt;&gt;"",BI68,MIN(IF(ISNUMBER(SEARCH("Type",N68)),BC68,BD68),AT68)))</f>
        <v/>
      </c>
      <c r="AO68" s="672"/>
      <c r="AP68" s="672"/>
      <c r="AQ68" s="673"/>
      <c r="AR68" s="448"/>
      <c r="AT68" s="686" t="str">
        <f t="shared" ref="AT68" si="205">IF(OR(C68="",F68="",J68="",L68="",N68="",R68="",X68="",Z68="",AB68="",AF68="",AH68="",AD68=""),"",(ROUND((AF68+AH68)*Z68,2)))</f>
        <v/>
      </c>
      <c r="AU68" s="685" t="str">
        <f>IF(OR(C68="",F68="",J68="",L68="",N68="",R68="",X68="",Z68="",AB68="",AF68="",AH68="",AD68=""),"",ROUND(AJ68*INDEX(ENDUSEALL[Factor],MATCH("Lighting",ENDUSEALL[End Use to Coincident Peak Demand Factors],0)),4))</f>
        <v/>
      </c>
      <c r="AV68" s="660" t="str">
        <f t="shared" ref="AV68" si="206">IF(OR(C68="",F68="",J68="",L68="",N68="",R68="",X68="",Z68="",AB68="",AF68="",AH68="",AD68=""),"",IF(C68="Incandescent",ROUND(0.7*J68*L68*AB68/1000,0),ROUND(L68*AB68*J68/1000,0)))</f>
        <v/>
      </c>
      <c r="AW68" s="660" t="str">
        <f t="shared" ref="AW68" si="207">IF(OR(C68="",F68="",J68="",L68="",N68="",R68="",X68="",Z68="",AB68="",AF68="",AH68="",AD68=""),"",IF(ISNUMBER(SEARCH("Network",N68)),ROUND(0.76*AB68*Z68*X68/1000,0),ROUND(X68*AB68*Z68/1000,0)))</f>
        <v/>
      </c>
      <c r="AX68" s="687" t="str">
        <f>IF(OR(C68="",F68="",J68="",L68="",N68="",R68="",X68="",Z68="",AB68="",AF68="",AH68="",AD68=""),"",
IF(AND(L68&gt;=Z68,ISNUMBER(SEARCH("Type",N68))),ROUND(Z68*LEFT(INDEX(CMLIGHTBASE[Measure Subgroup 2], MATCH(F68,CMLIGHTBASE[Base Desc 1],0)),2)*J68/LEFT(INDEX(CMLIGHTBASE[Measure Subgroup 2], MATCH(F68,CMLIGHTBASE[Base Desc 1],0)),2),0),
IF(AND(L68&lt;Z68,ISNUMBER(SEARCH("Type",N68))),ROUND(L68*LEFT(INDEX(CMLIGHTBASE[Measure Subgroup 2], MATCH(F68,CMLIGHTBASE[Base Desc 1],0)),2)*J68/LEFT(INDEX(CMLIGHTBASE[Measure Subgroup 2], MATCH(F68,CMLIGHTBASE[Base Desc 1],0)),2),0),
IF(AND(OR(ISNUMBER(SEARCH("Fixture",N68)),ISNUMBER(SEARCH("Kit",N68))),L68&gt;=Z68,ISNUMBER(SEARCH("Linear",C68))),Z68*J68,
IF(C68="Incandescent",0.7*J68*L68,L68*J68)))))</f>
        <v/>
      </c>
      <c r="AY68" s="689" t="str">
        <f>IF(OR(C68="",F68="",J68="",L68="",N68="",R68="",X68="",Z68="",AB68="",AF68="",AH68="",AD68=""),"",IF(AND(L68&gt;=Z68,ISNUMBER(SEARCH("Type",N68))),ROUND(Z68*LEFT(INDEX(CMLIGHTBASE[Measure Subgroup 2], MATCH(F68,CMLIGHTBASE[Base Desc 1],0)),2)*X68/V68,0),IF(AND(L68&lt;Z68,ISNUMBER(SEARCH("Type",N68))),ROUND(L68*LEFT(INDEX(CMLIGHTBASE[Measure Subgroup 2], MATCH(F68,CMLIGHTBASE[Base Desc 1],0)),2)*X68/V68,0),IF(OR(ISNUMBER(SEARCH("Fixture",N68)),ISNUMBER(SEARCH("Kit",N68))),Z68*X68,Z68*X68))))</f>
        <v/>
      </c>
      <c r="AZ68" s="689" t="str">
        <f t="shared" ref="AZ68" si="208">IF(OR(C68="Incandescent",C68="Halogen",C68="Exit Sign"),CONCATENATE(C68,"-",F68),IF(C68="Pulse Start Metal Halide",CONCATENATE("Metal Halide-",N68),CONCATENATE(C68,"-",N68)))</f>
        <v>-</v>
      </c>
      <c r="BA68" s="689" t="str">
        <f>IF(OR(C68="",F68="",J68="",L68="",N68="",R68="",X68="",Z68="",AB68="",AF68="",AH68="",AD68=""),"",
IF(ISNUMBER(SEARCH("Linear",C68)),INDEX(PMELIGHTLIN[Measure '#],MATCH(AZ68,PMELIGHTLIN[Measure Validator],0)),
IF(OR(C68="Metal Halide",C68="Pulse Start Metal Halide",C68="HP Sodium",C68="Mercury Vapor"),INDEX(PMELIGHTHID[Measure '#],MATCH(AZ68,PMELIGHTHID[Measure Validator],0)),
IF(OR(C68="Incandescent",C68="Halogen",C68="Exit Sign"),INDEX(PMELIGHTINCAN[Measure '#],MATCH(AZ68,PMELIGHTINCAN[Measure Validator],0))))))</f>
        <v/>
      </c>
      <c r="BB68" s="689" t="str">
        <f ca="1">IFERROR(IF(OR(C68="",F68="",J68="",L68="",N68="",R68="",X68="",Z68="",AB68="",AF68="",AH68="",AD68=""),"",
IF(AND(ISNUMBER(SEARCH("Linear",C68)),OR(ISNUMBER(SEARCH("Yes",M02S02F44)),M02S02F44="")),INDEX(PMELIGHTLIN[Inc Rate Unit FT],MATCH(AZ68,PMELIGHTLIN[Measure Validator],0)),
IF(AND(ISNUMBER(SEARCH("Linear",C68)),OR(ISNUMBER(SEARCH("No",M02S02F44)))),INDEX(PMELIGHTLIN[Inc Rate Unit PA],MATCH(AZ68,PMELIGHTLIN[Measure Validator],0)),
IF(OR(C68="Metal Halide",C68="Pulse Start Metal Halide",C68="HP Sodium",C68="Mercury Vapor"),INDEX(PMELIGHTHID[Inc Rate Unit],MATCH(AZ68,PMELIGHTHID[Measure Validator],0)),
IF(OR(C68="Incandescent",C68="Halogen",C68="Exit Sign"),INDEX(PMELIGHTINCAN[Inc Rate Unit],MATCH(AZ68,PMELIGHTINCAN[Measure Validator],0)))))))*
IF(AND(ISNUMBER(SEARCH("NO",M02S02F44)),M02S02F43&lt;=DATEVALUE("12/31/2021"),TODAY()&lt;=LIGHTING2021,OR(C68="Metal Halide",C68="Pulse Start Metal Halide",C68="HP Sodium",C68="Mercury Vapor",ISNUMBER(SEARCH("Linear",C68)))),LIGHTRATE21,1),"")</f>
        <v/>
      </c>
      <c r="BC68" s="689">
        <f>IFERROR(ROUND(IF(BA68="","",IF(OR(ISNUMBER(SEARCH("Yes",M02S02F44)),M02S02F44=""),IF(AND(L68&gt;=Z68,ISNUMBER(SEARCH("Type",N68))),BB68*(Z68*V68)*LEFT(INDEX(CMLIGHTBASE[Measure Subgroup 1], MATCH(F68,CMLIGHTBASE[Base Desc 1],0)),1),IF(AND(L68&lt;Z68,ISNUMBER(SEARCH("Type",N68))),BB68*(V68*L68)*LEFT(INDEX(CMLIGHTBASE[Measure Subgroup 1], MATCH(F68,CMLIGHTBASE[Base Desc 1],0)),1),0)),IF(ISNUMBER(SEARCH("Type",N68)),(AX68-AY68)*BB68,0))),2),0)</f>
        <v>0</v>
      </c>
      <c r="BD68" s="689" t="str">
        <f t="shared" ref="BD68" si="209">IFERROR((IF(BA68="","",IF(ISNUMBER(SEARCH("Type",N68)),0,IF(OR(C68="Incandescent",C68="Halogen",C68="Exit Sign"),Z68*BB68,IF(L68&gt;=Z68,((Z68*J68)-(Z68*X68)),((L68*J68)-(Z68*X68)))*BB68)))),0)</f>
        <v/>
      </c>
      <c r="BE68" s="685"/>
      <c r="BF68" s="683">
        <f t="shared" ref="BF68" si="210">IFERROR(ROUND(BH68*1.1,2),0)</f>
        <v>0</v>
      </c>
      <c r="BG68" s="654" t="str">
        <f>IF(OR(C68="",F68="",J68="",L68="",N68="",R68="",X68="",Z68="",AB68="",AF68="",AH68="",AD68=""),"",IF(BI68&lt;&gt;"",BI68,ROUND(BF68*BONUSADJ,2)))</f>
        <v/>
      </c>
      <c r="BH68" s="654" t="str">
        <f t="shared" ref="BH68" si="211">IF(OR(C68="",F68="",J68="",L68="",N68="",R68="",X68="",Z68="",AB68="",AF68="",AH68="",AD68=""),"",IF(BI68&lt;&gt;"",BI68,MIN(IF(ISNUMBER(SEARCH("Type",N68)),BC68,BD68),AT68)))</f>
        <v/>
      </c>
      <c r="BI68" s="684" t="str">
        <f t="shared" ref="BI68" si="212">IF(OR(C68="",F68="",J68="",L68="",N68="",R68="",X68="",Z68="",AB68="",AF68="",AH68="",AD68=""),"",IFERROR(IF(Z68&lt;&gt;L68,"One-for-One Replacement Only",IF(((J68*L68)-(X68*Z68))&lt;=0,"No Savings",IF((AX68-AY68)&lt;=0,"No Incentive",IF(AND(ISNUMBER(SEARCH("Linear",C68)),AD68&lt;50000),"Lamp Life Too Short","")))),"Submit for Review"))</f>
        <v/>
      </c>
    </row>
    <row r="69" spans="2:61" ht="15.95" hidden="1" customHeight="1" x14ac:dyDescent="0.25">
      <c r="B69" s="698"/>
      <c r="C69" s="706"/>
      <c r="D69" s="707"/>
      <c r="E69" s="708"/>
      <c r="F69" s="710"/>
      <c r="G69" s="707"/>
      <c r="H69" s="707"/>
      <c r="I69" s="707"/>
      <c r="J69" s="700"/>
      <c r="K69" s="693"/>
      <c r="L69" s="692"/>
      <c r="M69" s="700"/>
      <c r="N69" s="706"/>
      <c r="O69" s="707"/>
      <c r="P69" s="707"/>
      <c r="Q69" s="708"/>
      <c r="R69" s="710"/>
      <c r="S69" s="707"/>
      <c r="T69" s="707"/>
      <c r="U69" s="708"/>
      <c r="V69" s="692"/>
      <c r="W69" s="693"/>
      <c r="X69" s="692"/>
      <c r="Y69" s="693"/>
      <c r="Z69" s="692"/>
      <c r="AA69" s="693"/>
      <c r="AB69" s="692"/>
      <c r="AC69" s="693"/>
      <c r="AD69" s="679"/>
      <c r="AE69" s="680"/>
      <c r="AF69" s="663"/>
      <c r="AG69" s="682"/>
      <c r="AH69" s="663"/>
      <c r="AI69" s="664"/>
      <c r="AJ69" s="668"/>
      <c r="AK69" s="669"/>
      <c r="AL69" s="669"/>
      <c r="AM69" s="670"/>
      <c r="AN69" s="674"/>
      <c r="AO69" s="675"/>
      <c r="AP69" s="675"/>
      <c r="AQ69" s="676"/>
      <c r="AR69" s="448"/>
      <c r="AT69" s="686"/>
      <c r="AU69" s="685"/>
      <c r="AV69" s="660"/>
      <c r="AW69" s="660"/>
      <c r="AX69" s="688"/>
      <c r="AY69" s="689"/>
      <c r="AZ69" s="689"/>
      <c r="BA69" s="689"/>
      <c r="BB69" s="689"/>
      <c r="BC69" s="689"/>
      <c r="BD69" s="689"/>
      <c r="BE69" s="685"/>
      <c r="BF69" s="683"/>
      <c r="BG69" s="654"/>
      <c r="BH69" s="654"/>
      <c r="BI69" s="685"/>
    </row>
    <row r="70" spans="2:61" ht="15.95" hidden="1" customHeight="1" x14ac:dyDescent="0.25">
      <c r="B70" s="698">
        <v>20</v>
      </c>
      <c r="C70" s="703"/>
      <c r="D70" s="704"/>
      <c r="E70" s="705"/>
      <c r="F70" s="709"/>
      <c r="G70" s="704"/>
      <c r="H70" s="704"/>
      <c r="I70" s="704"/>
      <c r="J70" s="699" t="str">
        <f>IF(OR(C70="Halogen",C70="Incandescent",C70="Exit Sign",F70=""),"",INDEX(CMLIGHTBASE[Base Watt 1],MATCH(F70,CMLIGHTBASE[Base Desc 1],0)))</f>
        <v/>
      </c>
      <c r="K70" s="691"/>
      <c r="L70" s="690"/>
      <c r="M70" s="699"/>
      <c r="N70" s="703"/>
      <c r="O70" s="704"/>
      <c r="P70" s="704"/>
      <c r="Q70" s="705"/>
      <c r="R70" s="709"/>
      <c r="S70" s="704"/>
      <c r="T70" s="704"/>
      <c r="U70" s="705"/>
      <c r="V70" s="690" t="str">
        <f t="shared" ref="V70" si="213">IF(N70="","",IF(ISNUMBER(SEARCH("Type",N70)),"","N/A"))</f>
        <v/>
      </c>
      <c r="W70" s="691"/>
      <c r="X70" s="690"/>
      <c r="Y70" s="691"/>
      <c r="Z70" s="690"/>
      <c r="AA70" s="691"/>
      <c r="AB70" s="690" t="str">
        <f t="shared" ref="AB70" si="214">IF(C70="Exit Sign", 8760,"")</f>
        <v/>
      </c>
      <c r="AC70" s="691"/>
      <c r="AD70" s="677"/>
      <c r="AE70" s="678"/>
      <c r="AF70" s="661"/>
      <c r="AG70" s="681"/>
      <c r="AH70" s="661"/>
      <c r="AI70" s="662"/>
      <c r="AJ70" s="665" t="str">
        <f>IF(OR(C70="",F70="",J70="",L70="",N70="",R70="",X70="",Z70="",AB70="",AF70="",AH70="",AD70=""),"",IFERROR(ROUND(IF((AV70-AW70)&lt;=0,0,IF(M02S02F32&lt;&gt;"",INDEX(SPACEHEAT[HIF],MATCH(M02S02F32,SHEAT,0))*(AV70-AW70),(AV70-AW70))),0),""))</f>
        <v/>
      </c>
      <c r="AK70" s="666"/>
      <c r="AL70" s="666"/>
      <c r="AM70" s="667"/>
      <c r="AN70" s="671" t="str">
        <f>IF(OR(C70="",F70="",J70="",L70="",N70="",R70="",X70="",Z70="",AB70="",AF70="",AH70="",AD70=""),"",IF(BI70&lt;&gt;"",BI70,MIN(IF(ISNUMBER(SEARCH("Type",N70)),BC70,BD70),AT70)))</f>
        <v/>
      </c>
      <c r="AO70" s="672"/>
      <c r="AP70" s="672"/>
      <c r="AQ70" s="673"/>
      <c r="AR70" s="448"/>
      <c r="AT70" s="686" t="str">
        <f t="shared" ref="AT70" si="215">IF(OR(C70="",F70="",J70="",L70="",N70="",R70="",X70="",Z70="",AB70="",AF70="",AH70="",AD70=""),"",(ROUND((AF70+AH70)*Z70,2)))</f>
        <v/>
      </c>
      <c r="AU70" s="685" t="str">
        <f>IF(OR(C70="",F70="",J70="",L70="",N70="",R70="",X70="",Z70="",AB70="",AF70="",AH70="",AD70=""),"",ROUND(AJ70*INDEX(ENDUSEALL[Factor],MATCH("Lighting",ENDUSEALL[End Use to Coincident Peak Demand Factors],0)),4))</f>
        <v/>
      </c>
      <c r="AV70" s="660" t="str">
        <f t="shared" ref="AV70" si="216">IF(OR(C70="",F70="",J70="",L70="",N70="",R70="",X70="",Z70="",AB70="",AF70="",AH70="",AD70=""),"",IF(C70="Incandescent",ROUND(0.7*J70*L70*AB70/1000,0),ROUND(L70*AB70*J70/1000,0)))</f>
        <v/>
      </c>
      <c r="AW70" s="660" t="str">
        <f t="shared" ref="AW70" si="217">IF(OR(C70="",F70="",J70="",L70="",N70="",R70="",X70="",Z70="",AB70="",AF70="",AH70="",AD70=""),"",IF(ISNUMBER(SEARCH("Network",N70)),ROUND(0.76*AB70*Z70*X70/1000,0),ROUND(X70*AB70*Z70/1000,0)))</f>
        <v/>
      </c>
      <c r="AX70" s="687" t="str">
        <f>IF(OR(C70="",F70="",J70="",L70="",N70="",R70="",X70="",Z70="",AB70="",AF70="",AH70="",AD70=""),"",
IF(AND(L70&gt;=Z70,ISNUMBER(SEARCH("Type",N70))),ROUND(Z70*LEFT(INDEX(CMLIGHTBASE[Measure Subgroup 2], MATCH(F70,CMLIGHTBASE[Base Desc 1],0)),2)*J70/LEFT(INDEX(CMLIGHTBASE[Measure Subgroup 2], MATCH(F70,CMLIGHTBASE[Base Desc 1],0)),2),0),
IF(AND(L70&lt;Z70,ISNUMBER(SEARCH("Type",N70))),ROUND(L70*LEFT(INDEX(CMLIGHTBASE[Measure Subgroup 2], MATCH(F70,CMLIGHTBASE[Base Desc 1],0)),2)*J70/LEFT(INDEX(CMLIGHTBASE[Measure Subgroup 2], MATCH(F70,CMLIGHTBASE[Base Desc 1],0)),2),0),
IF(AND(OR(ISNUMBER(SEARCH("Fixture",N70)),ISNUMBER(SEARCH("Kit",N70))),L70&gt;=Z70,ISNUMBER(SEARCH("Linear",C70))),Z70*J70,
IF(C70="Incandescent",0.7*J70*L70,L70*J70)))))</f>
        <v/>
      </c>
      <c r="AY70" s="689" t="str">
        <f>IF(OR(C70="",F70="",J70="",L70="",N70="",R70="",X70="",Z70="",AB70="",AF70="",AH70="",AD70=""),"",IF(AND(L70&gt;=Z70,ISNUMBER(SEARCH("Type",N70))),ROUND(Z70*LEFT(INDEX(CMLIGHTBASE[Measure Subgroup 2], MATCH(F70,CMLIGHTBASE[Base Desc 1],0)),2)*X70/V70,0),IF(AND(L70&lt;Z70,ISNUMBER(SEARCH("Type",N70))),ROUND(L70*LEFT(INDEX(CMLIGHTBASE[Measure Subgroup 2], MATCH(F70,CMLIGHTBASE[Base Desc 1],0)),2)*X70/V70,0),IF(OR(ISNUMBER(SEARCH("Fixture",N70)),ISNUMBER(SEARCH("Kit",N70))),Z70*X70,Z70*X70))))</f>
        <v/>
      </c>
      <c r="AZ70" s="689" t="str">
        <f t="shared" ref="AZ70" si="218">IF(OR(C70="Incandescent",C70="Halogen",C70="Exit Sign"),CONCATENATE(C70,"-",F70),IF(C70="Pulse Start Metal Halide",CONCATENATE("Metal Halide-",N70),CONCATENATE(C70,"-",N70)))</f>
        <v>-</v>
      </c>
      <c r="BA70" s="689" t="str">
        <f>IF(OR(C70="",F70="",J70="",L70="",N70="",R70="",X70="",Z70="",AB70="",AF70="",AH70="",AD70=""),"",
IF(ISNUMBER(SEARCH("Linear",C70)),INDEX(PMELIGHTLIN[Measure '#],MATCH(AZ70,PMELIGHTLIN[Measure Validator],0)),
IF(OR(C70="Metal Halide",C70="Pulse Start Metal Halide",C70="HP Sodium",C70="Mercury Vapor"),INDEX(PMELIGHTHID[Measure '#],MATCH(AZ70,PMELIGHTHID[Measure Validator],0)),
IF(OR(C70="Incandescent",C70="Halogen",C70="Exit Sign"),INDEX(PMELIGHTINCAN[Measure '#],MATCH(AZ70,PMELIGHTINCAN[Measure Validator],0))))))</f>
        <v/>
      </c>
      <c r="BB70" s="689" t="str">
        <f ca="1">IFERROR(IF(OR(C70="",F70="",J70="",L70="",N70="",R70="",X70="",Z70="",AB70="",AF70="",AH70="",AD70=""),"",
IF(AND(ISNUMBER(SEARCH("Linear",C70)),OR(ISNUMBER(SEARCH("Yes",M02S02F44)),M02S02F44="")),INDEX(PMELIGHTLIN[Inc Rate Unit FT],MATCH(AZ70,PMELIGHTLIN[Measure Validator],0)),
IF(AND(ISNUMBER(SEARCH("Linear",C70)),OR(ISNUMBER(SEARCH("No",M02S02F44)))),INDEX(PMELIGHTLIN[Inc Rate Unit PA],MATCH(AZ70,PMELIGHTLIN[Measure Validator],0)),
IF(OR(C70="Metal Halide",C70="Pulse Start Metal Halide",C70="HP Sodium",C70="Mercury Vapor"),INDEX(PMELIGHTHID[Inc Rate Unit],MATCH(AZ70,PMELIGHTHID[Measure Validator],0)),
IF(OR(C70="Incandescent",C70="Halogen",C70="Exit Sign"),INDEX(PMELIGHTINCAN[Inc Rate Unit],MATCH(AZ70,PMELIGHTINCAN[Measure Validator],0)))))))*
IF(AND(ISNUMBER(SEARCH("NO",M02S02F44)),M02S02F43&lt;=DATEVALUE("12/31/2021"),TODAY()&lt;=LIGHTING2021,OR(C70="Metal Halide",C70="Pulse Start Metal Halide",C70="HP Sodium",C70="Mercury Vapor",ISNUMBER(SEARCH("Linear",C70)))),LIGHTRATE21,1),"")</f>
        <v/>
      </c>
      <c r="BC70" s="689">
        <f>IFERROR(ROUND(IF(BA70="","",IF(OR(ISNUMBER(SEARCH("Yes",M02S02F44)),M02S02F44=""),IF(AND(L70&gt;=Z70,ISNUMBER(SEARCH("Type",N70))),BB70*(Z70*V70)*LEFT(INDEX(CMLIGHTBASE[Measure Subgroup 1], MATCH(F70,CMLIGHTBASE[Base Desc 1],0)),1),IF(AND(L70&lt;Z70,ISNUMBER(SEARCH("Type",N70))),BB70*(V70*L70)*LEFT(INDEX(CMLIGHTBASE[Measure Subgroup 1], MATCH(F70,CMLIGHTBASE[Base Desc 1],0)),1),0)),IF(ISNUMBER(SEARCH("Type",N70)),(AX70-AY70)*BB70,0))),2),0)</f>
        <v>0</v>
      </c>
      <c r="BD70" s="689" t="str">
        <f t="shared" ref="BD70" si="219">IFERROR((IF(BA70="","",IF(ISNUMBER(SEARCH("Type",N70)),0,IF(OR(C70="Incandescent",C70="Halogen",C70="Exit Sign"),Z70*BB70,IF(L70&gt;=Z70,((Z70*J70)-(Z70*X70)),((L70*J70)-(Z70*X70)))*BB70)))),0)</f>
        <v/>
      </c>
      <c r="BE70" s="685"/>
      <c r="BF70" s="683">
        <f t="shared" ref="BF70" si="220">IFERROR(ROUND(BH70*1.1,2),0)</f>
        <v>0</v>
      </c>
      <c r="BG70" s="654" t="str">
        <f>IF(OR(C70="",F70="",J70="",L70="",N70="",R70="",X70="",Z70="",AB70="",AF70="",AH70="",AD70=""),"",IF(BI70&lt;&gt;"",BI70,ROUND(BF70*BONUSADJ,2)))</f>
        <v/>
      </c>
      <c r="BH70" s="654" t="str">
        <f t="shared" ref="BH70" si="221">IF(OR(C70="",F70="",J70="",L70="",N70="",R70="",X70="",Z70="",AB70="",AF70="",AH70="",AD70=""),"",IF(BI70&lt;&gt;"",BI70,MIN(IF(ISNUMBER(SEARCH("Type",N70)),BC70,BD70),AT70)))</f>
        <v/>
      </c>
      <c r="BI70" s="684" t="str">
        <f t="shared" ref="BI70" si="222">IF(OR(C70="",F70="",J70="",L70="",N70="",R70="",X70="",Z70="",AB70="",AF70="",AH70="",AD70=""),"",IFERROR(IF(Z70&lt;&gt;L70,"One-for-One Replacement Only",IF(((J70*L70)-(X70*Z70))&lt;=0,"No Savings",IF((AX70-AY70)&lt;=0,"No Incentive",IF(AND(ISNUMBER(SEARCH("Linear",C70)),AD70&lt;50000),"Lamp Life Too Short","")))),"Submit for Review"))</f>
        <v/>
      </c>
    </row>
    <row r="71" spans="2:61" ht="15.95" hidden="1" customHeight="1" x14ac:dyDescent="0.25">
      <c r="B71" s="698"/>
      <c r="C71" s="706"/>
      <c r="D71" s="707"/>
      <c r="E71" s="708"/>
      <c r="F71" s="710"/>
      <c r="G71" s="707"/>
      <c r="H71" s="707"/>
      <c r="I71" s="707"/>
      <c r="J71" s="700"/>
      <c r="K71" s="693"/>
      <c r="L71" s="692"/>
      <c r="M71" s="700"/>
      <c r="N71" s="842"/>
      <c r="O71" s="843"/>
      <c r="P71" s="843"/>
      <c r="Q71" s="844"/>
      <c r="R71" s="845"/>
      <c r="S71" s="843"/>
      <c r="T71" s="843"/>
      <c r="U71" s="844"/>
      <c r="V71" s="692"/>
      <c r="W71" s="693"/>
      <c r="X71" s="692"/>
      <c r="Y71" s="693"/>
      <c r="Z71" s="701"/>
      <c r="AA71" s="702"/>
      <c r="AB71" s="692"/>
      <c r="AC71" s="693"/>
      <c r="AD71" s="694"/>
      <c r="AE71" s="695"/>
      <c r="AF71" s="696"/>
      <c r="AG71" s="697"/>
      <c r="AH71" s="663"/>
      <c r="AI71" s="664"/>
      <c r="AJ71" s="668"/>
      <c r="AK71" s="669"/>
      <c r="AL71" s="669"/>
      <c r="AM71" s="670"/>
      <c r="AN71" s="674"/>
      <c r="AO71" s="675"/>
      <c r="AP71" s="675"/>
      <c r="AQ71" s="676"/>
      <c r="AR71" s="448"/>
      <c r="AT71" s="686"/>
      <c r="AU71" s="685"/>
      <c r="AV71" s="660"/>
      <c r="AW71" s="660"/>
      <c r="AX71" s="688"/>
      <c r="AY71" s="689"/>
      <c r="AZ71" s="689"/>
      <c r="BA71" s="689"/>
      <c r="BB71" s="689"/>
      <c r="BC71" s="689"/>
      <c r="BD71" s="689"/>
      <c r="BE71" s="685"/>
      <c r="BF71" s="683"/>
      <c r="BG71" s="654"/>
      <c r="BH71" s="654"/>
      <c r="BI71" s="685"/>
    </row>
    <row r="72" spans="2:61" ht="15.75" customHeight="1" x14ac:dyDescent="0.25">
      <c r="B72" s="451"/>
      <c r="C72" s="471"/>
      <c r="D72" s="471"/>
      <c r="E72" s="471"/>
      <c r="F72" s="471"/>
      <c r="G72" s="471"/>
      <c r="H72" s="471"/>
      <c r="I72" s="471"/>
      <c r="J72" s="471"/>
      <c r="K72" s="471"/>
      <c r="L72" s="472"/>
      <c r="M72" s="472"/>
      <c r="N72" s="472"/>
      <c r="O72" s="472"/>
      <c r="P72" s="471"/>
      <c r="Q72" s="471"/>
      <c r="R72" s="471"/>
      <c r="S72" s="471"/>
      <c r="T72" s="471"/>
      <c r="U72" s="471"/>
      <c r="V72" s="471"/>
      <c r="W72" s="471"/>
      <c r="X72" s="472"/>
      <c r="Y72" s="472"/>
      <c r="Z72" s="472"/>
      <c r="AA72" s="472"/>
      <c r="AB72" s="472"/>
      <c r="AC72" s="472"/>
      <c r="AD72" s="472"/>
      <c r="AE72" s="472"/>
      <c r="AF72" s="473"/>
      <c r="AG72" s="473"/>
      <c r="AH72" s="473"/>
      <c r="AI72" s="473"/>
      <c r="AJ72" s="474"/>
      <c r="AK72" s="474"/>
      <c r="AL72" s="474"/>
      <c r="AM72" s="474"/>
      <c r="AN72" s="474"/>
      <c r="AO72" s="474"/>
      <c r="AP72" s="474"/>
      <c r="AQ72" s="474"/>
      <c r="AR72" s="448"/>
      <c r="AT72" s="467"/>
      <c r="AU72" s="468"/>
      <c r="AV72" s="468"/>
      <c r="AW72" s="468"/>
      <c r="AX72" s="460"/>
      <c r="AY72" s="460"/>
      <c r="AZ72" s="460"/>
      <c r="BA72" s="460"/>
      <c r="BB72" s="460"/>
      <c r="BC72" s="460"/>
      <c r="BD72" s="460"/>
      <c r="BE72" s="468"/>
      <c r="BF72" s="469"/>
      <c r="BG72" s="470"/>
      <c r="BH72" s="470"/>
      <c r="BI72" s="468"/>
    </row>
    <row r="73" spans="2:61" ht="15.95" hidden="1" customHeight="1" x14ac:dyDescent="0.25">
      <c r="B73" s="451"/>
      <c r="C73" s="464"/>
      <c r="D73" s="464"/>
      <c r="E73" s="464"/>
      <c r="F73" s="464"/>
      <c r="G73" s="464"/>
      <c r="H73" s="464"/>
      <c r="I73" s="464"/>
      <c r="J73" s="464"/>
      <c r="K73" s="464"/>
      <c r="L73" s="465"/>
      <c r="M73" s="465"/>
      <c r="N73" s="465"/>
      <c r="O73" s="465"/>
      <c r="P73" s="464"/>
      <c r="Q73" s="464"/>
      <c r="R73" s="464"/>
      <c r="S73" s="464"/>
      <c r="T73" s="464"/>
      <c r="U73" s="464"/>
      <c r="V73" s="464"/>
      <c r="W73" s="464"/>
      <c r="X73" s="465"/>
      <c r="Y73" s="465"/>
      <c r="Z73" s="465"/>
      <c r="AA73" s="465"/>
      <c r="AB73" s="465"/>
      <c r="AC73" s="465"/>
      <c r="AD73" s="465"/>
      <c r="AE73" s="465"/>
      <c r="AF73" s="466"/>
      <c r="AG73" s="466"/>
      <c r="AH73" s="466"/>
      <c r="AI73" s="466"/>
      <c r="AR73" s="448"/>
      <c r="AT73" s="467"/>
      <c r="AU73" s="468"/>
      <c r="AV73" s="468"/>
      <c r="AW73" s="468"/>
      <c r="AX73" s="460"/>
      <c r="AY73" s="460"/>
      <c r="AZ73" s="460"/>
      <c r="BA73" s="460"/>
      <c r="BB73" s="460"/>
      <c r="BC73" s="460"/>
      <c r="BD73" s="460"/>
      <c r="BE73" s="468"/>
      <c r="BF73" s="469"/>
      <c r="BG73" s="470"/>
      <c r="BH73" s="470"/>
      <c r="BI73" s="468"/>
    </row>
    <row r="74" spans="2:61" ht="15.95" hidden="1" customHeight="1" x14ac:dyDescent="0.25">
      <c r="B74" s="451"/>
      <c r="C74" s="464"/>
      <c r="D74" s="464"/>
      <c r="E74" s="464"/>
      <c r="F74" s="464"/>
      <c r="G74" s="464"/>
      <c r="H74" s="464"/>
      <c r="I74" s="464"/>
      <c r="J74" s="464"/>
      <c r="K74" s="464"/>
      <c r="L74" s="465"/>
      <c r="M74" s="465"/>
      <c r="N74" s="465"/>
      <c r="O74" s="465"/>
      <c r="P74" s="464"/>
      <c r="Q74" s="464"/>
      <c r="R74" s="464"/>
      <c r="S74" s="464"/>
      <c r="T74" s="464"/>
      <c r="U74" s="464"/>
      <c r="V74" s="464"/>
      <c r="W74" s="464"/>
      <c r="X74" s="465"/>
      <c r="Y74" s="465"/>
      <c r="Z74" s="465"/>
      <c r="AA74" s="465"/>
      <c r="AB74" s="465"/>
      <c r="AC74" s="465"/>
      <c r="AD74" s="465"/>
      <c r="AE74" s="465"/>
      <c r="AF74" s="466"/>
      <c r="AG74" s="466"/>
      <c r="AH74" s="466"/>
      <c r="AI74" s="466"/>
      <c r="AR74" s="448"/>
      <c r="AT74" s="467"/>
      <c r="AU74" s="468"/>
      <c r="AV74" s="468"/>
      <c r="AW74" s="468"/>
      <c r="AX74" s="460"/>
      <c r="AY74" s="460"/>
      <c r="AZ74" s="460"/>
      <c r="BA74" s="460"/>
      <c r="BB74" s="460"/>
      <c r="BC74" s="460"/>
      <c r="BD74" s="460"/>
      <c r="BE74" s="468"/>
      <c r="BF74" s="469"/>
      <c r="BG74" s="470"/>
      <c r="BH74" s="470"/>
      <c r="BI74" s="468"/>
    </row>
    <row r="75" spans="2:61" ht="15.95" hidden="1" customHeight="1" x14ac:dyDescent="0.25">
      <c r="B75" s="451"/>
      <c r="C75" s="464"/>
      <c r="D75" s="464"/>
      <c r="E75" s="464"/>
      <c r="F75" s="464"/>
      <c r="G75" s="464"/>
      <c r="H75" s="464"/>
      <c r="I75" s="464"/>
      <c r="J75" s="464"/>
      <c r="K75" s="464"/>
      <c r="L75" s="465"/>
      <c r="M75" s="465"/>
      <c r="N75" s="465"/>
      <c r="O75" s="465"/>
      <c r="P75" s="464"/>
      <c r="Q75" s="464"/>
      <c r="R75" s="464"/>
      <c r="S75" s="464"/>
      <c r="T75" s="464"/>
      <c r="U75" s="464"/>
      <c r="V75" s="464"/>
      <c r="W75" s="464"/>
      <c r="X75" s="465"/>
      <c r="Y75" s="465"/>
      <c r="Z75" s="465"/>
      <c r="AA75" s="465"/>
      <c r="AB75" s="465"/>
      <c r="AC75" s="465"/>
      <c r="AD75" s="465"/>
      <c r="AE75" s="465"/>
      <c r="AF75" s="466"/>
      <c r="AG75" s="466"/>
      <c r="AH75" s="466"/>
      <c r="AI75" s="466"/>
      <c r="AR75" s="448"/>
      <c r="AT75" s="467"/>
      <c r="AU75" s="468"/>
      <c r="AV75" s="468"/>
      <c r="AW75" s="468"/>
      <c r="AX75" s="460"/>
      <c r="AY75" s="460"/>
      <c r="AZ75" s="460"/>
      <c r="BA75" s="460"/>
      <c r="BB75" s="460"/>
      <c r="BC75" s="460"/>
      <c r="BD75" s="460"/>
      <c r="BE75" s="468"/>
      <c r="BF75" s="469"/>
      <c r="BG75" s="470"/>
      <c r="BH75" s="470"/>
      <c r="BI75" s="468"/>
    </row>
    <row r="76" spans="2:61" ht="15.95" hidden="1" customHeight="1" x14ac:dyDescent="0.25">
      <c r="B76" s="451"/>
      <c r="C76" s="464"/>
      <c r="D76" s="464"/>
      <c r="E76" s="464"/>
      <c r="F76" s="464"/>
      <c r="G76" s="464"/>
      <c r="H76" s="464"/>
      <c r="I76" s="464"/>
      <c r="J76" s="464"/>
      <c r="K76" s="464"/>
      <c r="L76" s="465"/>
      <c r="M76" s="465"/>
      <c r="N76" s="465"/>
      <c r="O76" s="465"/>
      <c r="P76" s="464"/>
      <c r="Q76" s="464"/>
      <c r="R76" s="464"/>
      <c r="S76" s="464"/>
      <c r="T76" s="464"/>
      <c r="U76" s="464"/>
      <c r="V76" s="464"/>
      <c r="W76" s="464"/>
      <c r="X76" s="465"/>
      <c r="Y76" s="465"/>
      <c r="Z76" s="465"/>
      <c r="AA76" s="465"/>
      <c r="AB76" s="465"/>
      <c r="AC76" s="465"/>
      <c r="AD76" s="465"/>
      <c r="AE76" s="465"/>
      <c r="AF76" s="466"/>
      <c r="AG76" s="466"/>
      <c r="AH76" s="466"/>
      <c r="AI76" s="466"/>
      <c r="AR76" s="448"/>
      <c r="AT76" s="467"/>
      <c r="AU76" s="468"/>
      <c r="AV76" s="468"/>
      <c r="AW76" s="468"/>
      <c r="AX76" s="460"/>
      <c r="AY76" s="460"/>
      <c r="AZ76" s="460"/>
      <c r="BA76" s="460"/>
      <c r="BB76" s="460"/>
      <c r="BC76" s="460"/>
      <c r="BD76" s="460"/>
      <c r="BE76" s="468"/>
      <c r="BF76" s="469"/>
      <c r="BG76" s="470"/>
      <c r="BH76" s="470"/>
      <c r="BI76" s="468"/>
    </row>
    <row r="77" spans="2:61" ht="15.95" hidden="1" customHeight="1" x14ac:dyDescent="0.25">
      <c r="B77" s="451"/>
      <c r="C77" s="464"/>
      <c r="D77" s="464"/>
      <c r="E77" s="464"/>
      <c r="F77" s="464"/>
      <c r="G77" s="464"/>
      <c r="H77" s="464"/>
      <c r="I77" s="464"/>
      <c r="J77" s="464"/>
      <c r="K77" s="464"/>
      <c r="L77" s="465"/>
      <c r="M77" s="465"/>
      <c r="N77" s="465"/>
      <c r="O77" s="465"/>
      <c r="P77" s="464"/>
      <c r="Q77" s="464"/>
      <c r="R77" s="464"/>
      <c r="S77" s="464"/>
      <c r="T77" s="464"/>
      <c r="U77" s="464"/>
      <c r="V77" s="464"/>
      <c r="W77" s="464"/>
      <c r="X77" s="465"/>
      <c r="Y77" s="465"/>
      <c r="Z77" s="465"/>
      <c r="AA77" s="465"/>
      <c r="AB77" s="465"/>
      <c r="AC77" s="465"/>
      <c r="AD77" s="465"/>
      <c r="AE77" s="465"/>
      <c r="AF77" s="466"/>
      <c r="AG77" s="466"/>
      <c r="AH77" s="466"/>
      <c r="AI77" s="466"/>
      <c r="AR77" s="448"/>
      <c r="AT77" s="467"/>
      <c r="AU77" s="468"/>
      <c r="AV77" s="468"/>
      <c r="AW77" s="468"/>
      <c r="AX77" s="460"/>
      <c r="AY77" s="460"/>
      <c r="AZ77" s="460"/>
      <c r="BA77" s="460"/>
      <c r="BB77" s="460"/>
      <c r="BC77" s="460"/>
      <c r="BD77" s="460"/>
      <c r="BE77" s="468"/>
      <c r="BF77" s="469"/>
      <c r="BG77" s="470"/>
      <c r="BH77" s="470"/>
      <c r="BI77" s="468"/>
    </row>
    <row r="78" spans="2:61" ht="15.95" hidden="1" customHeight="1" x14ac:dyDescent="0.25">
      <c r="B78" s="451"/>
      <c r="C78" s="464"/>
      <c r="D78" s="464"/>
      <c r="E78" s="464"/>
      <c r="F78" s="464"/>
      <c r="G78" s="464"/>
      <c r="H78" s="464"/>
      <c r="I78" s="464"/>
      <c r="J78" s="464"/>
      <c r="K78" s="464"/>
      <c r="L78" s="465"/>
      <c r="M78" s="465"/>
      <c r="N78" s="465"/>
      <c r="O78" s="465"/>
      <c r="P78" s="464"/>
      <c r="Q78" s="464"/>
      <c r="R78" s="464"/>
      <c r="S78" s="464"/>
      <c r="T78" s="464"/>
      <c r="U78" s="464"/>
      <c r="V78" s="464"/>
      <c r="W78" s="464"/>
      <c r="X78" s="465"/>
      <c r="Y78" s="465"/>
      <c r="Z78" s="465"/>
      <c r="AA78" s="465"/>
      <c r="AB78" s="465"/>
      <c r="AC78" s="465"/>
      <c r="AD78" s="465"/>
      <c r="AE78" s="465"/>
      <c r="AF78" s="466"/>
      <c r="AG78" s="466"/>
      <c r="AH78" s="466"/>
      <c r="AI78" s="466"/>
      <c r="AR78" s="448"/>
      <c r="AT78" s="467"/>
      <c r="AU78" s="468"/>
      <c r="AV78" s="468"/>
      <c r="AW78" s="468"/>
      <c r="AX78" s="460"/>
      <c r="AY78" s="460"/>
      <c r="AZ78" s="460"/>
      <c r="BA78" s="460"/>
      <c r="BB78" s="460"/>
      <c r="BC78" s="460"/>
      <c r="BD78" s="460"/>
      <c r="BE78" s="468"/>
      <c r="BF78" s="469"/>
      <c r="BG78" s="470"/>
      <c r="BH78" s="470"/>
      <c r="BI78" s="468"/>
    </row>
    <row r="79" spans="2:61" ht="15.95" hidden="1" customHeight="1" x14ac:dyDescent="0.25">
      <c r="B79" s="451"/>
      <c r="C79" s="464"/>
      <c r="D79" s="464"/>
      <c r="E79" s="464"/>
      <c r="F79" s="464"/>
      <c r="G79" s="464"/>
      <c r="H79" s="464"/>
      <c r="I79" s="464"/>
      <c r="J79" s="464"/>
      <c r="K79" s="464"/>
      <c r="L79" s="465"/>
      <c r="M79" s="465"/>
      <c r="N79" s="465"/>
      <c r="O79" s="465"/>
      <c r="P79" s="464"/>
      <c r="Q79" s="464"/>
      <c r="R79" s="464"/>
      <c r="S79" s="464"/>
      <c r="T79" s="464"/>
      <c r="U79" s="464"/>
      <c r="V79" s="464"/>
      <c r="W79" s="464"/>
      <c r="X79" s="465"/>
      <c r="Y79" s="465"/>
      <c r="Z79" s="465"/>
      <c r="AA79" s="465"/>
      <c r="AB79" s="465"/>
      <c r="AC79" s="465"/>
      <c r="AD79" s="465"/>
      <c r="AE79" s="465"/>
      <c r="AF79" s="466"/>
      <c r="AG79" s="466"/>
      <c r="AH79" s="466"/>
      <c r="AI79" s="466"/>
      <c r="AR79" s="448"/>
      <c r="AT79" s="467"/>
      <c r="AU79" s="468"/>
      <c r="AV79" s="468"/>
      <c r="AW79" s="468"/>
      <c r="AX79" s="460"/>
      <c r="AY79" s="460"/>
      <c r="AZ79" s="460"/>
      <c r="BA79" s="460"/>
      <c r="BB79" s="460"/>
      <c r="BC79" s="460"/>
      <c r="BD79" s="460"/>
      <c r="BE79" s="468"/>
      <c r="BF79" s="469"/>
      <c r="BG79" s="470"/>
      <c r="BH79" s="470"/>
      <c r="BI79" s="468"/>
    </row>
    <row r="80" spans="2:61" ht="15.95" hidden="1" customHeight="1" x14ac:dyDescent="0.25">
      <c r="B80" s="451"/>
      <c r="C80" s="464"/>
      <c r="D80" s="464"/>
      <c r="E80" s="464"/>
      <c r="F80" s="464"/>
      <c r="G80" s="464"/>
      <c r="H80" s="464"/>
      <c r="I80" s="464"/>
      <c r="J80" s="464"/>
      <c r="K80" s="464"/>
      <c r="L80" s="465"/>
      <c r="M80" s="465"/>
      <c r="N80" s="465"/>
      <c r="O80" s="465"/>
      <c r="P80" s="464"/>
      <c r="Q80" s="464"/>
      <c r="R80" s="464"/>
      <c r="S80" s="464"/>
      <c r="T80" s="464"/>
      <c r="U80" s="464"/>
      <c r="V80" s="464"/>
      <c r="W80" s="464"/>
      <c r="X80" s="465"/>
      <c r="Y80" s="465"/>
      <c r="Z80" s="465"/>
      <c r="AA80" s="465"/>
      <c r="AB80" s="465"/>
      <c r="AC80" s="465"/>
      <c r="AD80" s="465"/>
      <c r="AE80" s="465"/>
      <c r="AF80" s="466"/>
      <c r="AG80" s="466"/>
      <c r="AH80" s="466"/>
      <c r="AI80" s="466"/>
      <c r="AR80" s="448"/>
      <c r="AT80" s="467"/>
      <c r="AU80" s="468"/>
      <c r="AV80" s="468"/>
      <c r="AW80" s="468"/>
      <c r="AX80" s="460"/>
      <c r="AY80" s="460"/>
      <c r="AZ80" s="460"/>
      <c r="BA80" s="460"/>
      <c r="BB80" s="460"/>
      <c r="BC80" s="460"/>
      <c r="BD80" s="460"/>
      <c r="BE80" s="468"/>
      <c r="BF80" s="469"/>
      <c r="BG80" s="470"/>
      <c r="BH80" s="470"/>
      <c r="BI80" s="468"/>
    </row>
    <row r="81" spans="2:61" ht="15.95" hidden="1" customHeight="1" x14ac:dyDescent="0.25">
      <c r="B81" s="451"/>
      <c r="C81" s="464"/>
      <c r="D81" s="464"/>
      <c r="E81" s="464"/>
      <c r="F81" s="464"/>
      <c r="G81" s="464"/>
      <c r="H81" s="464"/>
      <c r="I81" s="464"/>
      <c r="J81" s="464"/>
      <c r="K81" s="464"/>
      <c r="L81" s="465"/>
      <c r="M81" s="465"/>
      <c r="N81" s="465"/>
      <c r="O81" s="465"/>
      <c r="P81" s="464"/>
      <c r="Q81" s="464"/>
      <c r="R81" s="464"/>
      <c r="S81" s="464"/>
      <c r="T81" s="464"/>
      <c r="U81" s="464"/>
      <c r="V81" s="464"/>
      <c r="W81" s="464"/>
      <c r="X81" s="465"/>
      <c r="Y81" s="465"/>
      <c r="Z81" s="465"/>
      <c r="AA81" s="465"/>
      <c r="AB81" s="465"/>
      <c r="AC81" s="465"/>
      <c r="AD81" s="465"/>
      <c r="AE81" s="465"/>
      <c r="AF81" s="466"/>
      <c r="AG81" s="466"/>
      <c r="AH81" s="466"/>
      <c r="AI81" s="466"/>
      <c r="AR81" s="448"/>
      <c r="AT81" s="467"/>
      <c r="AU81" s="468"/>
      <c r="AV81" s="468"/>
      <c r="AW81" s="468"/>
      <c r="AX81" s="460"/>
      <c r="AY81" s="460"/>
      <c r="AZ81" s="460"/>
      <c r="BA81" s="460"/>
      <c r="BB81" s="460"/>
      <c r="BC81" s="460"/>
      <c r="BD81" s="460"/>
      <c r="BE81" s="468"/>
      <c r="BF81" s="469"/>
      <c r="BG81" s="470"/>
      <c r="BH81" s="470"/>
      <c r="BI81" s="468"/>
    </row>
    <row r="82" spans="2:61" ht="15.95" hidden="1" customHeight="1" x14ac:dyDescent="0.25">
      <c r="B82" s="451"/>
      <c r="C82" s="464"/>
      <c r="D82" s="464"/>
      <c r="E82" s="464"/>
      <c r="F82" s="464"/>
      <c r="G82" s="464"/>
      <c r="H82" s="464"/>
      <c r="I82" s="464"/>
      <c r="J82" s="464"/>
      <c r="K82" s="464"/>
      <c r="L82" s="465"/>
      <c r="M82" s="465"/>
      <c r="N82" s="465"/>
      <c r="O82" s="465"/>
      <c r="P82" s="464"/>
      <c r="Q82" s="464"/>
      <c r="R82" s="464"/>
      <c r="S82" s="464"/>
      <c r="T82" s="464"/>
      <c r="U82" s="464"/>
      <c r="V82" s="464"/>
      <c r="W82" s="464"/>
      <c r="X82" s="465"/>
      <c r="Y82" s="465"/>
      <c r="Z82" s="465"/>
      <c r="AA82" s="465"/>
      <c r="AB82" s="465"/>
      <c r="AC82" s="465"/>
      <c r="AD82" s="465"/>
      <c r="AE82" s="465"/>
      <c r="AF82" s="466"/>
      <c r="AG82" s="466"/>
      <c r="AH82" s="466"/>
      <c r="AI82" s="466"/>
      <c r="AR82" s="448"/>
      <c r="AT82" s="467"/>
      <c r="AU82" s="468"/>
      <c r="AV82" s="468"/>
      <c r="AW82" s="468"/>
      <c r="AX82" s="460"/>
      <c r="AY82" s="460"/>
      <c r="AZ82" s="460"/>
      <c r="BA82" s="460"/>
      <c r="BB82" s="460"/>
      <c r="BC82" s="460"/>
      <c r="BD82" s="460"/>
      <c r="BE82" s="468"/>
      <c r="BF82" s="469"/>
      <c r="BG82" s="470"/>
      <c r="BH82" s="470"/>
      <c r="BI82" s="468"/>
    </row>
    <row r="83" spans="2:61" ht="15.95" hidden="1" customHeight="1" x14ac:dyDescent="0.25">
      <c r="B83" s="451"/>
      <c r="C83" s="464"/>
      <c r="D83" s="464"/>
      <c r="E83" s="464"/>
      <c r="F83" s="464"/>
      <c r="G83" s="464"/>
      <c r="H83" s="464"/>
      <c r="I83" s="464"/>
      <c r="J83" s="464"/>
      <c r="K83" s="464"/>
      <c r="L83" s="465"/>
      <c r="M83" s="465"/>
      <c r="N83" s="465"/>
      <c r="O83" s="465"/>
      <c r="P83" s="464"/>
      <c r="Q83" s="464"/>
      <c r="R83" s="464"/>
      <c r="S83" s="464"/>
      <c r="T83" s="464"/>
      <c r="U83" s="464"/>
      <c r="V83" s="464"/>
      <c r="W83" s="464"/>
      <c r="X83" s="465"/>
      <c r="Y83" s="465"/>
      <c r="Z83" s="465"/>
      <c r="AA83" s="465"/>
      <c r="AB83" s="465"/>
      <c r="AC83" s="465"/>
      <c r="AD83" s="465"/>
      <c r="AE83" s="465"/>
      <c r="AF83" s="466"/>
      <c r="AG83" s="466"/>
      <c r="AH83" s="466"/>
      <c r="AI83" s="466"/>
      <c r="AR83" s="448"/>
      <c r="AT83" s="467"/>
      <c r="AU83" s="468"/>
      <c r="AV83" s="468"/>
      <c r="AW83" s="468"/>
      <c r="AX83" s="460"/>
      <c r="AY83" s="460"/>
      <c r="AZ83" s="460"/>
      <c r="BA83" s="460"/>
      <c r="BB83" s="460"/>
      <c r="BC83" s="460"/>
      <c r="BD83" s="460"/>
      <c r="BE83" s="468"/>
      <c r="BF83" s="469"/>
      <c r="BG83" s="470"/>
      <c r="BH83" s="470"/>
      <c r="BI83" s="468"/>
    </row>
    <row r="84" spans="2:61" ht="15.95" hidden="1" customHeight="1" x14ac:dyDescent="0.25">
      <c r="B84" s="451"/>
      <c r="C84" s="464"/>
      <c r="D84" s="464"/>
      <c r="E84" s="464"/>
      <c r="F84" s="464"/>
      <c r="G84" s="464"/>
      <c r="H84" s="464"/>
      <c r="I84" s="464"/>
      <c r="J84" s="464"/>
      <c r="K84" s="464"/>
      <c r="L84" s="465"/>
      <c r="M84" s="465"/>
      <c r="N84" s="465"/>
      <c r="O84" s="465"/>
      <c r="P84" s="464"/>
      <c r="Q84" s="464"/>
      <c r="R84" s="464"/>
      <c r="S84" s="464"/>
      <c r="T84" s="464"/>
      <c r="U84" s="464"/>
      <c r="V84" s="464"/>
      <c r="W84" s="464"/>
      <c r="X84" s="465"/>
      <c r="Y84" s="465"/>
      <c r="Z84" s="465"/>
      <c r="AA84" s="465"/>
      <c r="AB84" s="465"/>
      <c r="AC84" s="465"/>
      <c r="AD84" s="465"/>
      <c r="AE84" s="465"/>
      <c r="AF84" s="466"/>
      <c r="AG84" s="466"/>
      <c r="AH84" s="466"/>
      <c r="AI84" s="466"/>
      <c r="AR84" s="448"/>
      <c r="AT84" s="467"/>
      <c r="AU84" s="468"/>
      <c r="AV84" s="468"/>
      <c r="AW84" s="468"/>
      <c r="AX84" s="460"/>
      <c r="AY84" s="460"/>
      <c r="AZ84" s="460"/>
      <c r="BA84" s="460"/>
      <c r="BB84" s="460"/>
      <c r="BC84" s="460"/>
      <c r="BD84" s="460"/>
      <c r="BE84" s="468"/>
      <c r="BF84" s="469"/>
      <c r="BG84" s="470"/>
      <c r="BH84" s="470"/>
      <c r="BI84" s="468"/>
    </row>
    <row r="85" spans="2:61" ht="15.95" hidden="1" customHeight="1" x14ac:dyDescent="0.25">
      <c r="B85" s="451"/>
      <c r="C85" s="464"/>
      <c r="D85" s="464"/>
      <c r="E85" s="464"/>
      <c r="F85" s="464"/>
      <c r="G85" s="464"/>
      <c r="H85" s="464"/>
      <c r="I85" s="464"/>
      <c r="J85" s="464"/>
      <c r="K85" s="464"/>
      <c r="L85" s="465"/>
      <c r="M85" s="465"/>
      <c r="N85" s="465"/>
      <c r="O85" s="465"/>
      <c r="P85" s="464"/>
      <c r="Q85" s="464"/>
      <c r="R85" s="464"/>
      <c r="S85" s="464"/>
      <c r="T85" s="464"/>
      <c r="U85" s="464"/>
      <c r="V85" s="464"/>
      <c r="W85" s="464"/>
      <c r="X85" s="465"/>
      <c r="Y85" s="465"/>
      <c r="Z85" s="465"/>
      <c r="AA85" s="465"/>
      <c r="AB85" s="465"/>
      <c r="AC85" s="465"/>
      <c r="AD85" s="465"/>
      <c r="AE85" s="465"/>
      <c r="AF85" s="466"/>
      <c r="AG85" s="466"/>
      <c r="AH85" s="466"/>
      <c r="AI85" s="466"/>
      <c r="AR85" s="448"/>
      <c r="AT85" s="467"/>
      <c r="AU85" s="468"/>
      <c r="AV85" s="468"/>
      <c r="AW85" s="468"/>
      <c r="AX85" s="460"/>
      <c r="AY85" s="460"/>
      <c r="AZ85" s="460"/>
      <c r="BA85" s="460"/>
      <c r="BB85" s="460"/>
      <c r="BC85" s="460"/>
      <c r="BD85" s="460"/>
      <c r="BE85" s="468"/>
      <c r="BF85" s="469"/>
      <c r="BG85" s="470"/>
      <c r="BH85" s="470"/>
      <c r="BI85" s="468"/>
    </row>
    <row r="86" spans="2:61" ht="15.95" hidden="1" customHeight="1" x14ac:dyDescent="0.25">
      <c r="B86" s="451"/>
      <c r="C86" s="464"/>
      <c r="D86" s="464"/>
      <c r="E86" s="464"/>
      <c r="F86" s="464"/>
      <c r="G86" s="464"/>
      <c r="H86" s="464"/>
      <c r="I86" s="464"/>
      <c r="J86" s="464"/>
      <c r="K86" s="464"/>
      <c r="L86" s="465"/>
      <c r="M86" s="465"/>
      <c r="N86" s="465"/>
      <c r="O86" s="465"/>
      <c r="P86" s="464"/>
      <c r="Q86" s="464"/>
      <c r="R86" s="464"/>
      <c r="S86" s="464"/>
      <c r="T86" s="464"/>
      <c r="U86" s="464"/>
      <c r="V86" s="464"/>
      <c r="W86" s="464"/>
      <c r="X86" s="465"/>
      <c r="Y86" s="465"/>
      <c r="Z86" s="465"/>
      <c r="AA86" s="465"/>
      <c r="AB86" s="465"/>
      <c r="AC86" s="465"/>
      <c r="AD86" s="465"/>
      <c r="AE86" s="465"/>
      <c r="AF86" s="466"/>
      <c r="AG86" s="466"/>
      <c r="AH86" s="466"/>
      <c r="AI86" s="466"/>
      <c r="AR86" s="448"/>
      <c r="AT86" s="467"/>
      <c r="AU86" s="468"/>
      <c r="AV86" s="468"/>
      <c r="AW86" s="468"/>
      <c r="AX86" s="460"/>
      <c r="AY86" s="460"/>
      <c r="AZ86" s="460"/>
      <c r="BA86" s="460"/>
      <c r="BB86" s="460"/>
      <c r="BC86" s="460"/>
      <c r="BD86" s="460"/>
      <c r="BE86" s="468"/>
      <c r="BF86" s="469"/>
      <c r="BG86" s="470"/>
      <c r="BH86" s="470"/>
      <c r="BI86" s="468"/>
    </row>
    <row r="87" spans="2:61" ht="15.95" hidden="1" customHeight="1" x14ac:dyDescent="0.25">
      <c r="B87" s="451"/>
      <c r="C87" s="464"/>
      <c r="D87" s="464"/>
      <c r="E87" s="464"/>
      <c r="F87" s="464"/>
      <c r="G87" s="464"/>
      <c r="H87" s="464"/>
      <c r="I87" s="464"/>
      <c r="J87" s="464"/>
      <c r="K87" s="464"/>
      <c r="L87" s="465"/>
      <c r="M87" s="465"/>
      <c r="N87" s="465"/>
      <c r="O87" s="465"/>
      <c r="P87" s="464"/>
      <c r="Q87" s="464"/>
      <c r="R87" s="464"/>
      <c r="S87" s="464"/>
      <c r="T87" s="464"/>
      <c r="U87" s="464"/>
      <c r="V87" s="464"/>
      <c r="W87" s="464"/>
      <c r="X87" s="465"/>
      <c r="Y87" s="465"/>
      <c r="Z87" s="465"/>
      <c r="AA87" s="465"/>
      <c r="AB87" s="465"/>
      <c r="AC87" s="465"/>
      <c r="AD87" s="465"/>
      <c r="AE87" s="465"/>
      <c r="AF87" s="466"/>
      <c r="AG87" s="466"/>
      <c r="AH87" s="466"/>
      <c r="AI87" s="466"/>
      <c r="AR87" s="448"/>
      <c r="AT87" s="467"/>
      <c r="AU87" s="468"/>
      <c r="AV87" s="468"/>
      <c r="AW87" s="468"/>
      <c r="AX87" s="460"/>
      <c r="AY87" s="460"/>
      <c r="AZ87" s="460"/>
      <c r="BA87" s="460"/>
      <c r="BB87" s="460"/>
      <c r="BC87" s="460"/>
      <c r="BD87" s="460"/>
      <c r="BE87" s="468"/>
      <c r="BF87" s="469"/>
      <c r="BG87" s="470"/>
      <c r="BH87" s="470"/>
      <c r="BI87" s="468"/>
    </row>
    <row r="88" spans="2:61" ht="15.95" hidden="1" customHeight="1" x14ac:dyDescent="0.25">
      <c r="B88" s="451"/>
      <c r="C88" s="464"/>
      <c r="D88" s="464"/>
      <c r="E88" s="464"/>
      <c r="F88" s="464"/>
      <c r="G88" s="464"/>
      <c r="H88" s="464"/>
      <c r="I88" s="464"/>
      <c r="J88" s="464"/>
      <c r="K88" s="464"/>
      <c r="L88" s="465"/>
      <c r="M88" s="465"/>
      <c r="N88" s="465"/>
      <c r="O88" s="465"/>
      <c r="P88" s="464"/>
      <c r="Q88" s="464"/>
      <c r="R88" s="464"/>
      <c r="S88" s="464"/>
      <c r="T88" s="464"/>
      <c r="U88" s="464"/>
      <c r="V88" s="464"/>
      <c r="W88" s="464"/>
      <c r="X88" s="465"/>
      <c r="Y88" s="465"/>
      <c r="Z88" s="465"/>
      <c r="AA88" s="465"/>
      <c r="AB88" s="465"/>
      <c r="AC88" s="465"/>
      <c r="AD88" s="465"/>
      <c r="AE88" s="465"/>
      <c r="AF88" s="466"/>
      <c r="AG88" s="466"/>
      <c r="AH88" s="466"/>
      <c r="AI88" s="466"/>
      <c r="AR88" s="448"/>
      <c r="AT88" s="467"/>
      <c r="AU88" s="468"/>
      <c r="AV88" s="468"/>
      <c r="AW88" s="468"/>
      <c r="AX88" s="460"/>
      <c r="AY88" s="460"/>
      <c r="AZ88" s="460"/>
      <c r="BA88" s="460"/>
      <c r="BB88" s="460"/>
      <c r="BC88" s="460"/>
      <c r="BD88" s="460"/>
      <c r="BE88" s="468"/>
      <c r="BF88" s="469"/>
      <c r="BG88" s="470"/>
      <c r="BH88" s="470"/>
      <c r="BI88" s="468"/>
    </row>
    <row r="89" spans="2:61" ht="15.95" hidden="1" customHeight="1" x14ac:dyDescent="0.25">
      <c r="B89" s="451"/>
      <c r="C89" s="464"/>
      <c r="D89" s="464"/>
      <c r="E89" s="464"/>
      <c r="F89" s="464"/>
      <c r="G89" s="464"/>
      <c r="H89" s="464"/>
      <c r="I89" s="464"/>
      <c r="J89" s="464"/>
      <c r="K89" s="464"/>
      <c r="L89" s="465"/>
      <c r="M89" s="465"/>
      <c r="N89" s="465"/>
      <c r="O89" s="465"/>
      <c r="P89" s="464"/>
      <c r="Q89" s="464"/>
      <c r="R89" s="464"/>
      <c r="S89" s="464"/>
      <c r="T89" s="464"/>
      <c r="U89" s="464"/>
      <c r="V89" s="464"/>
      <c r="W89" s="464"/>
      <c r="X89" s="465"/>
      <c r="Y89" s="465"/>
      <c r="Z89" s="465"/>
      <c r="AA89" s="465"/>
      <c r="AB89" s="465"/>
      <c r="AC89" s="465"/>
      <c r="AD89" s="465"/>
      <c r="AE89" s="465"/>
      <c r="AF89" s="466"/>
      <c r="AG89" s="466"/>
      <c r="AH89" s="466"/>
      <c r="AI89" s="466"/>
      <c r="AR89" s="448"/>
      <c r="AT89" s="467"/>
      <c r="AU89" s="468"/>
      <c r="AV89" s="468"/>
      <c r="AW89" s="468"/>
      <c r="AX89" s="460"/>
      <c r="AY89" s="460"/>
      <c r="AZ89" s="460"/>
      <c r="BA89" s="460"/>
      <c r="BB89" s="460"/>
      <c r="BC89" s="460"/>
      <c r="BD89" s="460"/>
      <c r="BE89" s="468"/>
      <c r="BF89" s="469"/>
      <c r="BG89" s="470"/>
      <c r="BH89" s="470"/>
      <c r="BI89" s="468"/>
    </row>
    <row r="90" spans="2:61" ht="15.95" hidden="1" customHeight="1" x14ac:dyDescent="0.25">
      <c r="B90" s="451"/>
      <c r="C90" s="464"/>
      <c r="D90" s="464"/>
      <c r="E90" s="464"/>
      <c r="F90" s="464"/>
      <c r="G90" s="464"/>
      <c r="H90" s="464"/>
      <c r="I90" s="464"/>
      <c r="J90" s="464"/>
      <c r="K90" s="464"/>
      <c r="L90" s="465"/>
      <c r="M90" s="465"/>
      <c r="N90" s="465"/>
      <c r="O90" s="465"/>
      <c r="P90" s="464"/>
      <c r="Q90" s="464"/>
      <c r="R90" s="464"/>
      <c r="S90" s="464"/>
      <c r="T90" s="464"/>
      <c r="U90" s="464"/>
      <c r="V90" s="464"/>
      <c r="W90" s="464"/>
      <c r="X90" s="465"/>
      <c r="Y90" s="465"/>
      <c r="Z90" s="465"/>
      <c r="AA90" s="465"/>
      <c r="AB90" s="465"/>
      <c r="AC90" s="465"/>
      <c r="AD90" s="465"/>
      <c r="AE90" s="465"/>
      <c r="AF90" s="466"/>
      <c r="AG90" s="466"/>
      <c r="AH90" s="466"/>
      <c r="AI90" s="466"/>
      <c r="AR90" s="448"/>
      <c r="AT90" s="467"/>
      <c r="AU90" s="468"/>
      <c r="AV90" s="468"/>
      <c r="AW90" s="468"/>
      <c r="AX90" s="460"/>
      <c r="AY90" s="460"/>
      <c r="AZ90" s="460"/>
      <c r="BA90" s="460"/>
      <c r="BB90" s="460"/>
      <c r="BC90" s="460"/>
      <c r="BD90" s="460"/>
      <c r="BE90" s="468"/>
      <c r="BF90" s="469"/>
      <c r="BG90" s="470"/>
      <c r="BH90" s="470"/>
      <c r="BI90" s="468"/>
    </row>
    <row r="91" spans="2:61" ht="15.95" hidden="1" customHeight="1" x14ac:dyDescent="0.25">
      <c r="B91" s="451"/>
      <c r="C91" s="464"/>
      <c r="D91" s="464"/>
      <c r="E91" s="464"/>
      <c r="F91" s="464"/>
      <c r="G91" s="464"/>
      <c r="H91" s="464"/>
      <c r="I91" s="464"/>
      <c r="J91" s="464"/>
      <c r="K91" s="464"/>
      <c r="L91" s="465"/>
      <c r="M91" s="465"/>
      <c r="N91" s="465"/>
      <c r="O91" s="465"/>
      <c r="P91" s="464"/>
      <c r="Q91" s="464"/>
      <c r="R91" s="464"/>
      <c r="S91" s="464"/>
      <c r="T91" s="464"/>
      <c r="U91" s="464"/>
      <c r="V91" s="464"/>
      <c r="W91" s="464"/>
      <c r="X91" s="465"/>
      <c r="Y91" s="465"/>
      <c r="Z91" s="465"/>
      <c r="AA91" s="465"/>
      <c r="AB91" s="465"/>
      <c r="AC91" s="465"/>
      <c r="AD91" s="465"/>
      <c r="AE91" s="465"/>
      <c r="AF91" s="466"/>
      <c r="AG91" s="466"/>
      <c r="AH91" s="466"/>
      <c r="AI91" s="466"/>
      <c r="AR91" s="448"/>
      <c r="AT91" s="467"/>
      <c r="AU91" s="468"/>
      <c r="AV91" s="468"/>
      <c r="AW91" s="468"/>
      <c r="AX91" s="460"/>
      <c r="AY91" s="460"/>
      <c r="AZ91" s="460"/>
      <c r="BA91" s="460"/>
      <c r="BB91" s="460"/>
      <c r="BC91" s="460"/>
      <c r="BD91" s="460"/>
      <c r="BE91" s="468"/>
      <c r="BF91" s="469"/>
      <c r="BG91" s="470"/>
      <c r="BH91" s="470"/>
      <c r="BI91" s="468"/>
    </row>
    <row r="92" spans="2:61" ht="15.95" hidden="1" customHeight="1" x14ac:dyDescent="0.25">
      <c r="B92" s="451"/>
      <c r="C92" s="464"/>
      <c r="D92" s="464"/>
      <c r="E92" s="464"/>
      <c r="F92" s="464"/>
      <c r="G92" s="464"/>
      <c r="H92" s="464"/>
      <c r="I92" s="464"/>
      <c r="J92" s="464"/>
      <c r="K92" s="464"/>
      <c r="L92" s="465"/>
      <c r="M92" s="465"/>
      <c r="N92" s="465"/>
      <c r="O92" s="465"/>
      <c r="P92" s="464"/>
      <c r="Q92" s="464"/>
      <c r="R92" s="464"/>
      <c r="S92" s="464"/>
      <c r="T92" s="464"/>
      <c r="U92" s="464"/>
      <c r="V92" s="464"/>
      <c r="W92" s="464"/>
      <c r="X92" s="465"/>
      <c r="Y92" s="465"/>
      <c r="Z92" s="465"/>
      <c r="AA92" s="465"/>
      <c r="AB92" s="465"/>
      <c r="AC92" s="465"/>
      <c r="AD92" s="465"/>
      <c r="AE92" s="465"/>
      <c r="AF92" s="466"/>
      <c r="AG92" s="466"/>
      <c r="AH92" s="466"/>
      <c r="AI92" s="466"/>
      <c r="AR92" s="448"/>
      <c r="AT92" s="467"/>
      <c r="AU92" s="468"/>
      <c r="AV92" s="468"/>
      <c r="AW92" s="468"/>
      <c r="AX92" s="460"/>
      <c r="AY92" s="460"/>
      <c r="AZ92" s="460"/>
      <c r="BA92" s="460"/>
      <c r="BB92" s="460"/>
      <c r="BC92" s="460"/>
      <c r="BD92" s="460"/>
      <c r="BE92" s="468"/>
      <c r="BF92" s="469"/>
      <c r="BG92" s="470"/>
      <c r="BH92" s="470"/>
      <c r="BI92" s="468"/>
    </row>
    <row r="93" spans="2:61" ht="15.95" hidden="1" customHeight="1" x14ac:dyDescent="0.25">
      <c r="B93" s="451"/>
      <c r="C93" s="464"/>
      <c r="D93" s="464"/>
      <c r="E93" s="464"/>
      <c r="F93" s="464"/>
      <c r="G93" s="464"/>
      <c r="H93" s="464"/>
      <c r="I93" s="464"/>
      <c r="J93" s="464"/>
      <c r="K93" s="464"/>
      <c r="L93" s="465"/>
      <c r="M93" s="465"/>
      <c r="N93" s="465"/>
      <c r="O93" s="465"/>
      <c r="P93" s="464"/>
      <c r="Q93" s="464"/>
      <c r="R93" s="464"/>
      <c r="S93" s="464"/>
      <c r="T93" s="464"/>
      <c r="U93" s="464"/>
      <c r="V93" s="464"/>
      <c r="W93" s="464"/>
      <c r="X93" s="465"/>
      <c r="Y93" s="465"/>
      <c r="Z93" s="465"/>
      <c r="AA93" s="465"/>
      <c r="AB93" s="465"/>
      <c r="AC93" s="465"/>
      <c r="AD93" s="465"/>
      <c r="AE93" s="465"/>
      <c r="AF93" s="466"/>
      <c r="AG93" s="466"/>
      <c r="AH93" s="466"/>
      <c r="AI93" s="466"/>
      <c r="AR93" s="448"/>
      <c r="AT93" s="467"/>
      <c r="AU93" s="468"/>
      <c r="AV93" s="468"/>
      <c r="AW93" s="468"/>
      <c r="AX93" s="460"/>
      <c r="AY93" s="460"/>
      <c r="AZ93" s="460"/>
      <c r="BA93" s="460"/>
      <c r="BB93" s="460"/>
      <c r="BC93" s="460"/>
      <c r="BD93" s="460"/>
      <c r="BE93" s="468"/>
      <c r="BF93" s="469"/>
      <c r="BG93" s="470"/>
      <c r="BH93" s="470"/>
      <c r="BI93" s="468"/>
    </row>
    <row r="94" spans="2:61" ht="15.95" hidden="1" customHeight="1" x14ac:dyDescent="0.25">
      <c r="B94" s="451"/>
      <c r="C94" s="464"/>
      <c r="D94" s="464"/>
      <c r="E94" s="464"/>
      <c r="F94" s="464"/>
      <c r="G94" s="464"/>
      <c r="H94" s="464"/>
      <c r="I94" s="464"/>
      <c r="J94" s="464"/>
      <c r="K94" s="464"/>
      <c r="L94" s="465"/>
      <c r="M94" s="465"/>
      <c r="N94" s="465"/>
      <c r="O94" s="465"/>
      <c r="P94" s="464"/>
      <c r="Q94" s="464"/>
      <c r="R94" s="464"/>
      <c r="S94" s="464"/>
      <c r="T94" s="464"/>
      <c r="U94" s="464"/>
      <c r="V94" s="464"/>
      <c r="W94" s="464"/>
      <c r="X94" s="465"/>
      <c r="Y94" s="465"/>
      <c r="Z94" s="465"/>
      <c r="AA94" s="465"/>
      <c r="AB94" s="465"/>
      <c r="AC94" s="465"/>
      <c r="AD94" s="465"/>
      <c r="AE94" s="465"/>
      <c r="AF94" s="466"/>
      <c r="AG94" s="466"/>
      <c r="AH94" s="466"/>
      <c r="AI94" s="466"/>
      <c r="AR94" s="448"/>
      <c r="AT94" s="467"/>
      <c r="AU94" s="468"/>
      <c r="AV94" s="468"/>
      <c r="AW94" s="468"/>
      <c r="AX94" s="460"/>
      <c r="AY94" s="460"/>
      <c r="AZ94" s="460"/>
      <c r="BA94" s="460"/>
      <c r="BB94" s="460"/>
      <c r="BC94" s="460"/>
      <c r="BD94" s="460"/>
      <c r="BE94" s="468"/>
      <c r="BF94" s="469"/>
      <c r="BG94" s="470"/>
      <c r="BH94" s="470"/>
      <c r="BI94" s="468"/>
    </row>
    <row r="95" spans="2:61" ht="15.95" hidden="1" customHeight="1" x14ac:dyDescent="0.25">
      <c r="B95" s="451"/>
      <c r="C95" s="464"/>
      <c r="D95" s="464"/>
      <c r="E95" s="464"/>
      <c r="F95" s="464"/>
      <c r="G95" s="464"/>
      <c r="H95" s="464"/>
      <c r="I95" s="464"/>
      <c r="J95" s="464"/>
      <c r="K95" s="464"/>
      <c r="L95" s="465"/>
      <c r="M95" s="465"/>
      <c r="N95" s="465"/>
      <c r="O95" s="465"/>
      <c r="P95" s="464"/>
      <c r="Q95" s="464"/>
      <c r="R95" s="464"/>
      <c r="S95" s="464"/>
      <c r="T95" s="464"/>
      <c r="U95" s="464"/>
      <c r="V95" s="464"/>
      <c r="W95" s="464"/>
      <c r="X95" s="465"/>
      <c r="Y95" s="465"/>
      <c r="Z95" s="465"/>
      <c r="AA95" s="465"/>
      <c r="AB95" s="465"/>
      <c r="AC95" s="465"/>
      <c r="AD95" s="465"/>
      <c r="AE95" s="465"/>
      <c r="AF95" s="466"/>
      <c r="AG95" s="466"/>
      <c r="AH95" s="466"/>
      <c r="AI95" s="466"/>
      <c r="AR95" s="448"/>
      <c r="AT95" s="467"/>
      <c r="AU95" s="468"/>
      <c r="AV95" s="468"/>
      <c r="AW95" s="468"/>
      <c r="AX95" s="460"/>
      <c r="AY95" s="460"/>
      <c r="AZ95" s="460"/>
      <c r="BA95" s="460"/>
      <c r="BB95" s="460"/>
      <c r="BC95" s="460"/>
      <c r="BD95" s="460"/>
      <c r="BE95" s="468"/>
      <c r="BF95" s="469"/>
      <c r="BG95" s="470"/>
      <c r="BH95" s="470"/>
      <c r="BI95" s="468"/>
    </row>
    <row r="96" spans="2:61" ht="15.95" hidden="1" customHeight="1" x14ac:dyDescent="0.25">
      <c r="B96" s="451"/>
      <c r="C96" s="464"/>
      <c r="D96" s="464"/>
      <c r="E96" s="464"/>
      <c r="F96" s="464"/>
      <c r="G96" s="464"/>
      <c r="H96" s="464"/>
      <c r="I96" s="464"/>
      <c r="J96" s="464"/>
      <c r="K96" s="464"/>
      <c r="L96" s="465"/>
      <c r="M96" s="465"/>
      <c r="N96" s="465"/>
      <c r="O96" s="465"/>
      <c r="P96" s="464"/>
      <c r="Q96" s="464"/>
      <c r="R96" s="464"/>
      <c r="S96" s="464"/>
      <c r="T96" s="464"/>
      <c r="U96" s="464"/>
      <c r="V96" s="464"/>
      <c r="W96" s="464"/>
      <c r="X96" s="465"/>
      <c r="Y96" s="465"/>
      <c r="Z96" s="465"/>
      <c r="AA96" s="465"/>
      <c r="AB96" s="465"/>
      <c r="AC96" s="465"/>
      <c r="AD96" s="465"/>
      <c r="AE96" s="465"/>
      <c r="AF96" s="466"/>
      <c r="AG96" s="466"/>
      <c r="AH96" s="466"/>
      <c r="AI96" s="466"/>
      <c r="AR96" s="448"/>
      <c r="AT96" s="467"/>
      <c r="AU96" s="468"/>
      <c r="AV96" s="468"/>
      <c r="AW96" s="468"/>
      <c r="AX96" s="460"/>
      <c r="AY96" s="460"/>
      <c r="AZ96" s="460"/>
      <c r="BA96" s="460"/>
      <c r="BB96" s="460"/>
      <c r="BC96" s="460"/>
      <c r="BD96" s="460"/>
      <c r="BE96" s="468"/>
      <c r="BF96" s="469"/>
      <c r="BG96" s="470"/>
      <c r="BH96" s="470"/>
      <c r="BI96" s="468"/>
    </row>
    <row r="97" spans="2:61" ht="15.95" hidden="1" customHeight="1" x14ac:dyDescent="0.25">
      <c r="B97" s="451"/>
      <c r="C97" s="464"/>
      <c r="D97" s="464"/>
      <c r="E97" s="464"/>
      <c r="F97" s="464"/>
      <c r="G97" s="464"/>
      <c r="H97" s="464"/>
      <c r="I97" s="464"/>
      <c r="J97" s="464"/>
      <c r="K97" s="464"/>
      <c r="L97" s="465"/>
      <c r="M97" s="465"/>
      <c r="N97" s="465"/>
      <c r="O97" s="465"/>
      <c r="P97" s="464"/>
      <c r="Q97" s="464"/>
      <c r="R97" s="464"/>
      <c r="S97" s="464"/>
      <c r="T97" s="464"/>
      <c r="U97" s="464"/>
      <c r="V97" s="464"/>
      <c r="W97" s="464"/>
      <c r="X97" s="465"/>
      <c r="Y97" s="465"/>
      <c r="Z97" s="465"/>
      <c r="AA97" s="465"/>
      <c r="AB97" s="465"/>
      <c r="AC97" s="465"/>
      <c r="AD97" s="465"/>
      <c r="AE97" s="465"/>
      <c r="AF97" s="466"/>
      <c r="AG97" s="466"/>
      <c r="AH97" s="466"/>
      <c r="AI97" s="466"/>
      <c r="AR97" s="448"/>
      <c r="AT97" s="467"/>
      <c r="AU97" s="468"/>
      <c r="AV97" s="468"/>
      <c r="AW97" s="468"/>
      <c r="AX97" s="460"/>
      <c r="AY97" s="460"/>
      <c r="AZ97" s="460"/>
      <c r="BA97" s="460"/>
      <c r="BB97" s="460"/>
      <c r="BC97" s="460"/>
      <c r="BD97" s="460"/>
      <c r="BE97" s="468"/>
      <c r="BF97" s="469"/>
      <c r="BG97" s="470"/>
      <c r="BH97" s="470"/>
      <c r="BI97" s="468"/>
    </row>
    <row r="98" spans="2:61" ht="15.95" hidden="1" customHeight="1" x14ac:dyDescent="0.25">
      <c r="B98" s="451"/>
      <c r="C98" s="464"/>
      <c r="D98" s="464"/>
      <c r="E98" s="464"/>
      <c r="F98" s="464"/>
      <c r="G98" s="464"/>
      <c r="H98" s="464"/>
      <c r="I98" s="464"/>
      <c r="J98" s="464"/>
      <c r="K98" s="464"/>
      <c r="L98" s="465"/>
      <c r="M98" s="465"/>
      <c r="N98" s="465"/>
      <c r="O98" s="465"/>
      <c r="P98" s="464"/>
      <c r="Q98" s="464"/>
      <c r="R98" s="464"/>
      <c r="S98" s="464"/>
      <c r="T98" s="464"/>
      <c r="U98" s="464"/>
      <c r="V98" s="464"/>
      <c r="W98" s="464"/>
      <c r="X98" s="465"/>
      <c r="Y98" s="465"/>
      <c r="Z98" s="465"/>
      <c r="AA98" s="465"/>
      <c r="AB98" s="465"/>
      <c r="AC98" s="465"/>
      <c r="AD98" s="465"/>
      <c r="AE98" s="465"/>
      <c r="AF98" s="466"/>
      <c r="AG98" s="466"/>
      <c r="AH98" s="466"/>
      <c r="AI98" s="466"/>
      <c r="AR98" s="448"/>
      <c r="AT98" s="467"/>
      <c r="AU98" s="468"/>
      <c r="AV98" s="468"/>
      <c r="AW98" s="468"/>
      <c r="AX98" s="460"/>
      <c r="AY98" s="460"/>
      <c r="AZ98" s="460"/>
      <c r="BA98" s="460"/>
      <c r="BB98" s="460"/>
      <c r="BC98" s="460"/>
      <c r="BD98" s="460"/>
      <c r="BE98" s="468"/>
      <c r="BF98" s="469"/>
      <c r="BG98" s="470"/>
      <c r="BH98" s="470"/>
      <c r="BI98" s="468"/>
    </row>
    <row r="99" spans="2:61" ht="15.95" hidden="1" customHeight="1" x14ac:dyDescent="0.25">
      <c r="B99" s="451"/>
      <c r="C99" s="464"/>
      <c r="D99" s="464"/>
      <c r="E99" s="464"/>
      <c r="F99" s="464"/>
      <c r="G99" s="464"/>
      <c r="H99" s="464"/>
      <c r="I99" s="464"/>
      <c r="J99" s="464"/>
      <c r="K99" s="464"/>
      <c r="L99" s="465"/>
      <c r="M99" s="465"/>
      <c r="N99" s="465"/>
      <c r="O99" s="465"/>
      <c r="P99" s="464"/>
      <c r="Q99" s="464"/>
      <c r="R99" s="464"/>
      <c r="S99" s="464"/>
      <c r="T99" s="464"/>
      <c r="U99" s="464"/>
      <c r="V99" s="464"/>
      <c r="W99" s="464"/>
      <c r="X99" s="465"/>
      <c r="Y99" s="465"/>
      <c r="Z99" s="465"/>
      <c r="AA99" s="465"/>
      <c r="AB99" s="465"/>
      <c r="AC99" s="465"/>
      <c r="AD99" s="465"/>
      <c r="AE99" s="465"/>
      <c r="AF99" s="466"/>
      <c r="AG99" s="466"/>
      <c r="AH99" s="466"/>
      <c r="AI99" s="466"/>
      <c r="AR99" s="448"/>
      <c r="AT99" s="467"/>
      <c r="AU99" s="468"/>
      <c r="AV99" s="468"/>
      <c r="AW99" s="468"/>
      <c r="AX99" s="460"/>
      <c r="AY99" s="460"/>
      <c r="AZ99" s="460"/>
      <c r="BA99" s="460"/>
      <c r="BB99" s="460"/>
      <c r="BC99" s="460"/>
      <c r="BD99" s="460"/>
      <c r="BE99" s="468"/>
      <c r="BF99" s="469"/>
      <c r="BG99" s="470"/>
      <c r="BH99" s="470"/>
      <c r="BI99" s="468"/>
    </row>
    <row r="100" spans="2:61" ht="15.95" hidden="1" customHeight="1" x14ac:dyDescent="0.25">
      <c r="B100" s="451"/>
      <c r="C100" s="464"/>
      <c r="D100" s="464"/>
      <c r="E100" s="464"/>
      <c r="F100" s="464"/>
      <c r="G100" s="464"/>
      <c r="H100" s="464"/>
      <c r="I100" s="464"/>
      <c r="J100" s="464"/>
      <c r="K100" s="464"/>
      <c r="L100" s="465"/>
      <c r="M100" s="465"/>
      <c r="N100" s="465"/>
      <c r="O100" s="465"/>
      <c r="P100" s="464"/>
      <c r="Q100" s="464"/>
      <c r="R100" s="464"/>
      <c r="S100" s="464"/>
      <c r="T100" s="464"/>
      <c r="U100" s="464"/>
      <c r="V100" s="464"/>
      <c r="W100" s="464"/>
      <c r="X100" s="465"/>
      <c r="Y100" s="465"/>
      <c r="Z100" s="465"/>
      <c r="AA100" s="465"/>
      <c r="AB100" s="465"/>
      <c r="AC100" s="465"/>
      <c r="AD100" s="465"/>
      <c r="AE100" s="465"/>
      <c r="AF100" s="466"/>
      <c r="AG100" s="466"/>
      <c r="AH100" s="466"/>
      <c r="AI100" s="466"/>
      <c r="AR100" s="448"/>
      <c r="AT100" s="467"/>
      <c r="AU100" s="468"/>
      <c r="AV100" s="468"/>
      <c r="AW100" s="468"/>
      <c r="AX100" s="460"/>
      <c r="AY100" s="460"/>
      <c r="AZ100" s="460"/>
      <c r="BA100" s="460"/>
      <c r="BB100" s="460"/>
      <c r="BC100" s="460"/>
      <c r="BD100" s="460"/>
      <c r="BE100" s="468"/>
      <c r="BF100" s="469"/>
      <c r="BG100" s="470"/>
      <c r="BH100" s="470"/>
      <c r="BI100" s="468"/>
    </row>
    <row r="101" spans="2:61" ht="15.95" hidden="1" customHeight="1" x14ac:dyDescent="0.25">
      <c r="B101" s="451"/>
      <c r="C101" s="464"/>
      <c r="D101" s="464"/>
      <c r="E101" s="464"/>
      <c r="F101" s="464"/>
      <c r="G101" s="464"/>
      <c r="H101" s="464"/>
      <c r="I101" s="464"/>
      <c r="J101" s="464"/>
      <c r="K101" s="464"/>
      <c r="L101" s="465"/>
      <c r="M101" s="465"/>
      <c r="N101" s="465"/>
      <c r="O101" s="465"/>
      <c r="P101" s="464"/>
      <c r="Q101" s="464"/>
      <c r="R101" s="464"/>
      <c r="S101" s="464"/>
      <c r="T101" s="464"/>
      <c r="U101" s="464"/>
      <c r="V101" s="464"/>
      <c r="W101" s="464"/>
      <c r="X101" s="465"/>
      <c r="Y101" s="465"/>
      <c r="Z101" s="465"/>
      <c r="AA101" s="465"/>
      <c r="AB101" s="465"/>
      <c r="AC101" s="465"/>
      <c r="AD101" s="465"/>
      <c r="AE101" s="465"/>
      <c r="AF101" s="466"/>
      <c r="AG101" s="466"/>
      <c r="AH101" s="466"/>
      <c r="AI101" s="466"/>
      <c r="AR101" s="448"/>
      <c r="AT101" s="467"/>
      <c r="AU101" s="468"/>
      <c r="AV101" s="468"/>
      <c r="AW101" s="468"/>
      <c r="AX101" s="460"/>
      <c r="AY101" s="460"/>
      <c r="AZ101" s="460"/>
      <c r="BA101" s="460"/>
      <c r="BB101" s="460"/>
      <c r="BC101" s="460"/>
      <c r="BD101" s="460"/>
      <c r="BE101" s="468"/>
      <c r="BF101" s="469"/>
      <c r="BG101" s="470"/>
      <c r="BH101" s="470"/>
      <c r="BI101" s="468"/>
    </row>
    <row r="102" spans="2:61" ht="15.95" hidden="1" customHeight="1" x14ac:dyDescent="0.25">
      <c r="B102" s="451"/>
      <c r="C102" s="464"/>
      <c r="D102" s="464"/>
      <c r="E102" s="464"/>
      <c r="F102" s="464"/>
      <c r="G102" s="464"/>
      <c r="H102" s="464"/>
      <c r="I102" s="464"/>
      <c r="J102" s="464"/>
      <c r="K102" s="464"/>
      <c r="L102" s="465"/>
      <c r="M102" s="465"/>
      <c r="N102" s="465"/>
      <c r="O102" s="465"/>
      <c r="P102" s="464"/>
      <c r="Q102" s="464"/>
      <c r="R102" s="464"/>
      <c r="S102" s="464"/>
      <c r="T102" s="464"/>
      <c r="U102" s="464"/>
      <c r="V102" s="464"/>
      <c r="W102" s="464"/>
      <c r="X102" s="465"/>
      <c r="Y102" s="465"/>
      <c r="Z102" s="465"/>
      <c r="AA102" s="465"/>
      <c r="AB102" s="465"/>
      <c r="AC102" s="465"/>
      <c r="AD102" s="465"/>
      <c r="AE102" s="465"/>
      <c r="AF102" s="466"/>
      <c r="AG102" s="466"/>
      <c r="AH102" s="466"/>
      <c r="AI102" s="466"/>
      <c r="AR102" s="448"/>
      <c r="AT102" s="467"/>
      <c r="AU102" s="468"/>
      <c r="AV102" s="468"/>
      <c r="AW102" s="468"/>
      <c r="AX102" s="460"/>
      <c r="AY102" s="460"/>
      <c r="AZ102" s="460"/>
      <c r="BA102" s="460"/>
      <c r="BB102" s="460"/>
      <c r="BC102" s="460"/>
      <c r="BD102" s="460"/>
      <c r="BE102" s="468"/>
      <c r="BF102" s="469"/>
      <c r="BG102" s="470"/>
      <c r="BH102" s="470"/>
      <c r="BI102" s="468"/>
    </row>
    <row r="103" spans="2:61" ht="15.95" hidden="1" customHeight="1" x14ac:dyDescent="0.25">
      <c r="B103" s="451"/>
      <c r="C103" s="464"/>
      <c r="D103" s="464"/>
      <c r="E103" s="464"/>
      <c r="F103" s="464"/>
      <c r="G103" s="464"/>
      <c r="H103" s="464"/>
      <c r="I103" s="464"/>
      <c r="J103" s="464"/>
      <c r="K103" s="464"/>
      <c r="L103" s="465"/>
      <c r="M103" s="465"/>
      <c r="N103" s="465"/>
      <c r="O103" s="465"/>
      <c r="P103" s="464"/>
      <c r="Q103" s="464"/>
      <c r="R103" s="464"/>
      <c r="S103" s="464"/>
      <c r="T103" s="464"/>
      <c r="U103" s="464"/>
      <c r="V103" s="464"/>
      <c r="W103" s="464"/>
      <c r="X103" s="465"/>
      <c r="Y103" s="465"/>
      <c r="Z103" s="465"/>
      <c r="AA103" s="465"/>
      <c r="AB103" s="465"/>
      <c r="AC103" s="465"/>
      <c r="AD103" s="465"/>
      <c r="AE103" s="465"/>
      <c r="AF103" s="466"/>
      <c r="AG103" s="466"/>
      <c r="AH103" s="466"/>
      <c r="AI103" s="466"/>
      <c r="AR103" s="448"/>
      <c r="AT103" s="467"/>
      <c r="AU103" s="468"/>
      <c r="AV103" s="468"/>
      <c r="AW103" s="468"/>
      <c r="AX103" s="460"/>
      <c r="AY103" s="460"/>
      <c r="AZ103" s="460"/>
      <c r="BA103" s="460"/>
      <c r="BB103" s="460"/>
      <c r="BC103" s="460"/>
      <c r="BD103" s="460"/>
      <c r="BE103" s="468"/>
      <c r="BF103" s="469"/>
      <c r="BG103" s="470"/>
      <c r="BH103" s="470"/>
      <c r="BI103" s="468"/>
    </row>
    <row r="104" spans="2:61" ht="15.95" hidden="1" customHeight="1" x14ac:dyDescent="0.25">
      <c r="B104" s="451"/>
      <c r="C104" s="464"/>
      <c r="D104" s="464"/>
      <c r="E104" s="464"/>
      <c r="F104" s="464"/>
      <c r="G104" s="464"/>
      <c r="H104" s="464"/>
      <c r="I104" s="464"/>
      <c r="J104" s="464"/>
      <c r="K104" s="464"/>
      <c r="L104" s="465"/>
      <c r="M104" s="465"/>
      <c r="N104" s="465"/>
      <c r="O104" s="465"/>
      <c r="P104" s="464"/>
      <c r="Q104" s="464"/>
      <c r="R104" s="464"/>
      <c r="S104" s="464"/>
      <c r="T104" s="464"/>
      <c r="U104" s="464"/>
      <c r="V104" s="464"/>
      <c r="W104" s="464"/>
      <c r="X104" s="465"/>
      <c r="Y104" s="465"/>
      <c r="Z104" s="465"/>
      <c r="AA104" s="465"/>
      <c r="AB104" s="465"/>
      <c r="AC104" s="465"/>
      <c r="AD104" s="465"/>
      <c r="AE104" s="465"/>
      <c r="AF104" s="466"/>
      <c r="AG104" s="466"/>
      <c r="AH104" s="466"/>
      <c r="AI104" s="466"/>
      <c r="AR104" s="448"/>
      <c r="AT104" s="467"/>
      <c r="AU104" s="468"/>
      <c r="AV104" s="468"/>
      <c r="AW104" s="468"/>
      <c r="AX104" s="460"/>
      <c r="AY104" s="460"/>
      <c r="AZ104" s="460"/>
      <c r="BA104" s="460"/>
      <c r="BB104" s="460"/>
      <c r="BC104" s="460"/>
      <c r="BD104" s="460"/>
      <c r="BE104" s="468"/>
      <c r="BF104" s="469"/>
      <c r="BG104" s="470"/>
      <c r="BH104" s="470"/>
      <c r="BI104" s="468"/>
    </row>
    <row r="105" spans="2:61" ht="15.95" hidden="1" customHeight="1" x14ac:dyDescent="0.25">
      <c r="B105" s="451"/>
      <c r="C105" s="464"/>
      <c r="D105" s="464"/>
      <c r="E105" s="464"/>
      <c r="F105" s="464"/>
      <c r="G105" s="464"/>
      <c r="H105" s="464"/>
      <c r="I105" s="464"/>
      <c r="J105" s="464"/>
      <c r="K105" s="464"/>
      <c r="L105" s="465"/>
      <c r="M105" s="465"/>
      <c r="N105" s="465"/>
      <c r="O105" s="465"/>
      <c r="P105" s="464"/>
      <c r="Q105" s="464"/>
      <c r="R105" s="464"/>
      <c r="S105" s="464"/>
      <c r="T105" s="464"/>
      <c r="U105" s="464"/>
      <c r="V105" s="464"/>
      <c r="W105" s="464"/>
      <c r="X105" s="465"/>
      <c r="Y105" s="465"/>
      <c r="Z105" s="465"/>
      <c r="AA105" s="465"/>
      <c r="AB105" s="465"/>
      <c r="AC105" s="465"/>
      <c r="AD105" s="465"/>
      <c r="AE105" s="465"/>
      <c r="AF105" s="466"/>
      <c r="AG105" s="466"/>
      <c r="AH105" s="466"/>
      <c r="AI105" s="466"/>
      <c r="AR105" s="448"/>
      <c r="AT105" s="467"/>
      <c r="AU105" s="468"/>
      <c r="AV105" s="468"/>
      <c r="AW105" s="468"/>
      <c r="AX105" s="460"/>
      <c r="AY105" s="460"/>
      <c r="AZ105" s="460"/>
      <c r="BA105" s="460"/>
      <c r="BB105" s="460"/>
      <c r="BC105" s="460"/>
      <c r="BD105" s="460"/>
      <c r="BE105" s="468"/>
      <c r="BF105" s="469"/>
      <c r="BG105" s="470"/>
      <c r="BH105" s="470"/>
      <c r="BI105" s="468"/>
    </row>
    <row r="106" spans="2:61" ht="15.95" hidden="1" customHeight="1" x14ac:dyDescent="0.25">
      <c r="B106" s="451"/>
      <c r="C106" s="464"/>
      <c r="D106" s="464"/>
      <c r="E106" s="464"/>
      <c r="F106" s="464"/>
      <c r="G106" s="464"/>
      <c r="H106" s="464"/>
      <c r="I106" s="464"/>
      <c r="J106" s="464"/>
      <c r="K106" s="464"/>
      <c r="L106" s="465"/>
      <c r="M106" s="465"/>
      <c r="N106" s="465"/>
      <c r="O106" s="465"/>
      <c r="P106" s="464"/>
      <c r="Q106" s="464"/>
      <c r="R106" s="464"/>
      <c r="S106" s="464"/>
      <c r="T106" s="464"/>
      <c r="U106" s="464"/>
      <c r="V106" s="464"/>
      <c r="W106" s="464"/>
      <c r="X106" s="465"/>
      <c r="Y106" s="465"/>
      <c r="Z106" s="465"/>
      <c r="AA106" s="465"/>
      <c r="AB106" s="465"/>
      <c r="AC106" s="465"/>
      <c r="AD106" s="465"/>
      <c r="AE106" s="465"/>
      <c r="AF106" s="466"/>
      <c r="AG106" s="466"/>
      <c r="AH106" s="466"/>
      <c r="AI106" s="466"/>
      <c r="AR106" s="448"/>
      <c r="AT106" s="467"/>
      <c r="AU106" s="468"/>
      <c r="AV106" s="468"/>
      <c r="AW106" s="468"/>
      <c r="AX106" s="460"/>
      <c r="AY106" s="460"/>
      <c r="AZ106" s="460"/>
      <c r="BA106" s="460"/>
      <c r="BB106" s="460"/>
      <c r="BC106" s="460"/>
      <c r="BD106" s="460"/>
      <c r="BE106" s="468"/>
      <c r="BF106" s="469"/>
      <c r="BG106" s="470"/>
      <c r="BH106" s="470"/>
      <c r="BI106" s="468"/>
    </row>
    <row r="107" spans="2:61" ht="15.95" hidden="1" customHeight="1" x14ac:dyDescent="0.25">
      <c r="B107" s="451"/>
      <c r="C107" s="464"/>
      <c r="D107" s="464"/>
      <c r="E107" s="464"/>
      <c r="F107" s="464"/>
      <c r="G107" s="464"/>
      <c r="H107" s="464"/>
      <c r="I107" s="464"/>
      <c r="J107" s="464"/>
      <c r="K107" s="464"/>
      <c r="L107" s="465"/>
      <c r="M107" s="465"/>
      <c r="N107" s="465"/>
      <c r="O107" s="465"/>
      <c r="P107" s="464"/>
      <c r="Q107" s="464"/>
      <c r="R107" s="464"/>
      <c r="S107" s="464"/>
      <c r="T107" s="464"/>
      <c r="U107" s="464"/>
      <c r="V107" s="464"/>
      <c r="W107" s="464"/>
      <c r="X107" s="465"/>
      <c r="Y107" s="465"/>
      <c r="Z107" s="465"/>
      <c r="AA107" s="465"/>
      <c r="AB107" s="465"/>
      <c r="AC107" s="465"/>
      <c r="AD107" s="465"/>
      <c r="AE107" s="465"/>
      <c r="AF107" s="466"/>
      <c r="AG107" s="466"/>
      <c r="AH107" s="466"/>
      <c r="AI107" s="466"/>
      <c r="AR107" s="448"/>
      <c r="AT107" s="467"/>
      <c r="AU107" s="468"/>
      <c r="AV107" s="468"/>
      <c r="AW107" s="468"/>
      <c r="AX107" s="460"/>
      <c r="AY107" s="460"/>
      <c r="AZ107" s="460"/>
      <c r="BA107" s="460"/>
      <c r="BB107" s="460"/>
      <c r="BC107" s="460"/>
      <c r="BD107" s="460"/>
      <c r="BE107" s="468"/>
      <c r="BF107" s="469"/>
      <c r="BG107" s="470"/>
      <c r="BH107" s="470"/>
      <c r="BI107" s="468"/>
    </row>
    <row r="108" spans="2:61" ht="15.95" hidden="1" customHeight="1" x14ac:dyDescent="0.25">
      <c r="B108" s="451"/>
      <c r="C108" s="464"/>
      <c r="D108" s="464"/>
      <c r="E108" s="464"/>
      <c r="F108" s="464"/>
      <c r="G108" s="464"/>
      <c r="H108" s="464"/>
      <c r="I108" s="464"/>
      <c r="J108" s="464"/>
      <c r="K108" s="464"/>
      <c r="L108" s="465"/>
      <c r="M108" s="465"/>
      <c r="N108" s="465"/>
      <c r="O108" s="465"/>
      <c r="P108" s="464"/>
      <c r="Q108" s="464"/>
      <c r="R108" s="464"/>
      <c r="S108" s="464"/>
      <c r="T108" s="464"/>
      <c r="U108" s="464"/>
      <c r="V108" s="464"/>
      <c r="W108" s="464"/>
      <c r="X108" s="465"/>
      <c r="Y108" s="465"/>
      <c r="Z108" s="465"/>
      <c r="AA108" s="465"/>
      <c r="AB108" s="465"/>
      <c r="AC108" s="465"/>
      <c r="AD108" s="465"/>
      <c r="AE108" s="465"/>
      <c r="AF108" s="466"/>
      <c r="AG108" s="466"/>
      <c r="AH108" s="466"/>
      <c r="AI108" s="466"/>
      <c r="AR108" s="448"/>
      <c r="AT108" s="467"/>
      <c r="AU108" s="468"/>
      <c r="AV108" s="468"/>
      <c r="AW108" s="468"/>
      <c r="AX108" s="460"/>
      <c r="AY108" s="460"/>
      <c r="AZ108" s="460"/>
      <c r="BA108" s="460"/>
      <c r="BB108" s="460"/>
      <c r="BC108" s="460"/>
      <c r="BD108" s="460"/>
      <c r="BE108" s="468"/>
      <c r="BF108" s="469"/>
      <c r="BG108" s="470"/>
      <c r="BH108" s="470"/>
      <c r="BI108" s="468"/>
    </row>
    <row r="109" spans="2:61" ht="15.95" hidden="1" customHeight="1" x14ac:dyDescent="0.25">
      <c r="B109" s="451"/>
      <c r="C109" s="464"/>
      <c r="D109" s="464"/>
      <c r="E109" s="464"/>
      <c r="F109" s="464"/>
      <c r="G109" s="464"/>
      <c r="H109" s="464"/>
      <c r="I109" s="464"/>
      <c r="J109" s="464"/>
      <c r="K109" s="464"/>
      <c r="L109" s="465"/>
      <c r="M109" s="465"/>
      <c r="N109" s="465"/>
      <c r="O109" s="465"/>
      <c r="P109" s="464"/>
      <c r="Q109" s="464"/>
      <c r="R109" s="464"/>
      <c r="S109" s="464"/>
      <c r="T109" s="464"/>
      <c r="U109" s="464"/>
      <c r="V109" s="464"/>
      <c r="W109" s="464"/>
      <c r="X109" s="465"/>
      <c r="Y109" s="465"/>
      <c r="Z109" s="465"/>
      <c r="AA109" s="465"/>
      <c r="AB109" s="465"/>
      <c r="AC109" s="465"/>
      <c r="AD109" s="465"/>
      <c r="AE109" s="465"/>
      <c r="AF109" s="466"/>
      <c r="AG109" s="466"/>
      <c r="AH109" s="466"/>
      <c r="AI109" s="466"/>
      <c r="AR109" s="448"/>
      <c r="AT109" s="467"/>
      <c r="AU109" s="468"/>
      <c r="AV109" s="468"/>
      <c r="AW109" s="468"/>
      <c r="AX109" s="460"/>
      <c r="AY109" s="460"/>
      <c r="AZ109" s="460"/>
      <c r="BA109" s="460"/>
      <c r="BB109" s="460"/>
      <c r="BC109" s="460"/>
      <c r="BD109" s="460"/>
      <c r="BE109" s="468"/>
      <c r="BF109" s="469"/>
      <c r="BG109" s="470"/>
      <c r="BH109" s="470"/>
      <c r="BI109" s="468"/>
    </row>
    <row r="110" spans="2:61" ht="15.95" hidden="1" customHeight="1" x14ac:dyDescent="0.25">
      <c r="B110" s="451"/>
      <c r="C110" s="464"/>
      <c r="D110" s="464"/>
      <c r="E110" s="464"/>
      <c r="F110" s="464"/>
      <c r="G110" s="464"/>
      <c r="H110" s="464"/>
      <c r="I110" s="464"/>
      <c r="J110" s="464"/>
      <c r="K110" s="464"/>
      <c r="L110" s="465"/>
      <c r="M110" s="465"/>
      <c r="N110" s="465"/>
      <c r="O110" s="465"/>
      <c r="P110" s="464"/>
      <c r="Q110" s="464"/>
      <c r="R110" s="464"/>
      <c r="S110" s="464"/>
      <c r="T110" s="464"/>
      <c r="U110" s="464"/>
      <c r="V110" s="464"/>
      <c r="W110" s="464"/>
      <c r="X110" s="465"/>
      <c r="Y110" s="465"/>
      <c r="Z110" s="465"/>
      <c r="AA110" s="465"/>
      <c r="AB110" s="465"/>
      <c r="AC110" s="465"/>
      <c r="AD110" s="465"/>
      <c r="AE110" s="465"/>
      <c r="AF110" s="466"/>
      <c r="AG110" s="466"/>
      <c r="AH110" s="466"/>
      <c r="AI110" s="466"/>
      <c r="AR110" s="448"/>
      <c r="AT110" s="467"/>
      <c r="AU110" s="468"/>
      <c r="AV110" s="468"/>
      <c r="AW110" s="468"/>
      <c r="AX110" s="460"/>
      <c r="AY110" s="460"/>
      <c r="AZ110" s="460"/>
      <c r="BA110" s="460"/>
      <c r="BB110" s="460"/>
      <c r="BC110" s="460"/>
      <c r="BD110" s="460"/>
      <c r="BE110" s="468"/>
      <c r="BF110" s="469"/>
      <c r="BG110" s="470"/>
      <c r="BH110" s="470"/>
      <c r="BI110" s="468"/>
    </row>
    <row r="111" spans="2:61" ht="15.95" hidden="1" customHeight="1" x14ac:dyDescent="0.25">
      <c r="B111" s="451"/>
      <c r="C111" s="464"/>
      <c r="D111" s="464"/>
      <c r="E111" s="464"/>
      <c r="F111" s="464"/>
      <c r="G111" s="464"/>
      <c r="H111" s="464"/>
      <c r="I111" s="464"/>
      <c r="J111" s="464"/>
      <c r="K111" s="464"/>
      <c r="L111" s="465"/>
      <c r="M111" s="465"/>
      <c r="N111" s="465"/>
      <c r="O111" s="465"/>
      <c r="P111" s="464"/>
      <c r="Q111" s="464"/>
      <c r="R111" s="464"/>
      <c r="S111" s="464"/>
      <c r="T111" s="464"/>
      <c r="U111" s="464"/>
      <c r="V111" s="464"/>
      <c r="W111" s="464"/>
      <c r="X111" s="465"/>
      <c r="Y111" s="465"/>
      <c r="Z111" s="465"/>
      <c r="AA111" s="465"/>
      <c r="AB111" s="465"/>
      <c r="AC111" s="465"/>
      <c r="AD111" s="465"/>
      <c r="AE111" s="465"/>
      <c r="AF111" s="466"/>
      <c r="AG111" s="466"/>
      <c r="AH111" s="466"/>
      <c r="AI111" s="466"/>
      <c r="AR111" s="448"/>
      <c r="AT111" s="467"/>
      <c r="AU111" s="468"/>
      <c r="AV111" s="468"/>
      <c r="AW111" s="468"/>
      <c r="AX111" s="460"/>
      <c r="AY111" s="460"/>
      <c r="AZ111" s="460"/>
      <c r="BA111" s="460"/>
      <c r="BB111" s="460"/>
      <c r="BC111" s="460"/>
      <c r="BD111" s="460"/>
      <c r="BE111" s="468"/>
      <c r="BF111" s="469"/>
      <c r="BG111" s="470"/>
      <c r="BH111" s="470"/>
      <c r="BI111" s="468"/>
    </row>
    <row r="112" spans="2:61" ht="15.95" hidden="1" customHeight="1" x14ac:dyDescent="0.25">
      <c r="B112" s="441"/>
      <c r="AR112" s="448"/>
    </row>
    <row r="113" spans="2:51" ht="15.95" customHeight="1" x14ac:dyDescent="0.25">
      <c r="B113" s="441"/>
      <c r="C113" s="767" t="s">
        <v>1968</v>
      </c>
      <c r="D113" s="767"/>
      <c r="E113" s="767"/>
      <c r="F113" s="767"/>
      <c r="G113" s="767"/>
      <c r="H113" s="767"/>
      <c r="I113" s="767"/>
      <c r="J113" s="767"/>
      <c r="K113" s="767"/>
      <c r="L113" s="767"/>
      <c r="M113" s="767"/>
      <c r="N113" s="767"/>
      <c r="O113" s="767"/>
      <c r="P113" s="767"/>
      <c r="Q113" s="767"/>
      <c r="R113" s="767"/>
      <c r="S113" s="767"/>
      <c r="T113" s="767"/>
      <c r="U113" s="767"/>
      <c r="V113" s="767"/>
      <c r="W113" s="767"/>
      <c r="X113" s="767"/>
      <c r="Y113" s="767"/>
      <c r="Z113" s="767"/>
      <c r="AA113" s="767"/>
      <c r="AB113" s="767"/>
      <c r="AC113" s="767"/>
      <c r="AD113" s="767"/>
      <c r="AE113" s="767"/>
      <c r="AF113" s="767"/>
      <c r="AG113" s="767"/>
      <c r="AH113" s="767"/>
      <c r="AI113" s="767"/>
      <c r="AJ113" s="767"/>
      <c r="AK113" s="767"/>
      <c r="AL113" s="767"/>
      <c r="AM113" s="767"/>
      <c r="AN113" s="767"/>
      <c r="AO113" s="767"/>
      <c r="AP113" s="767"/>
      <c r="AQ113" s="767"/>
      <c r="AR113" s="448"/>
      <c r="AT113" t="s">
        <v>1318</v>
      </c>
      <c r="AX113" s="56"/>
      <c r="AY113">
        <f>AVERAGE(66827349,61605176,67743805)/AVERAGE(80878917,75449280,81061185)/1000</f>
        <v>8.2639049963911197E-4</v>
      </c>
    </row>
    <row r="114" spans="2:51" ht="15.95" customHeight="1" x14ac:dyDescent="0.25">
      <c r="B114" s="441"/>
      <c r="C114" s="767"/>
      <c r="D114" s="767"/>
      <c r="E114" s="767"/>
      <c r="F114" s="767"/>
      <c r="G114" s="767"/>
      <c r="H114" s="767"/>
      <c r="I114" s="767"/>
      <c r="J114" s="767"/>
      <c r="K114" s="767"/>
      <c r="L114" s="767"/>
      <c r="M114" s="767"/>
      <c r="N114" s="767"/>
      <c r="O114" s="767"/>
      <c r="P114" s="767"/>
      <c r="Q114" s="767"/>
      <c r="R114" s="767"/>
      <c r="S114" s="767"/>
      <c r="T114" s="767"/>
      <c r="U114" s="767"/>
      <c r="V114" s="767"/>
      <c r="W114" s="767"/>
      <c r="X114" s="767"/>
      <c r="Y114" s="767"/>
      <c r="Z114" s="767"/>
      <c r="AA114" s="767"/>
      <c r="AB114" s="767"/>
      <c r="AC114" s="767"/>
      <c r="AD114" s="767"/>
      <c r="AE114" s="767"/>
      <c r="AF114" s="767"/>
      <c r="AG114" s="767"/>
      <c r="AH114" s="767"/>
      <c r="AI114" s="767"/>
      <c r="AJ114" s="767"/>
      <c r="AK114" s="767"/>
      <c r="AL114" s="767"/>
      <c r="AM114" s="767"/>
      <c r="AN114" s="767"/>
      <c r="AO114" s="767"/>
      <c r="AP114" s="767"/>
      <c r="AQ114" s="767"/>
      <c r="AR114" s="448"/>
      <c r="AT114" s="11" t="s">
        <v>1322</v>
      </c>
    </row>
    <row r="115" spans="2:51" ht="15.95" customHeight="1" x14ac:dyDescent="0.25">
      <c r="B115" s="441"/>
      <c r="C115" s="435"/>
      <c r="D115" s="768">
        <f>SUM(AJ32:AM71)*5</f>
        <v>0</v>
      </c>
      <c r="E115" s="768"/>
      <c r="F115" s="768"/>
      <c r="G115" s="768"/>
      <c r="H115" s="768"/>
      <c r="I115" s="768"/>
      <c r="J115" s="768"/>
      <c r="K115" s="768"/>
      <c r="L115" s="768"/>
      <c r="M115" s="450"/>
      <c r="N115" s="450"/>
      <c r="O115" s="450"/>
      <c r="P115" s="450"/>
      <c r="Q115" s="450"/>
      <c r="R115" s="770">
        <f>IFERROR(KWHTOTALALL*M02S02F35,0)*5</f>
        <v>0</v>
      </c>
      <c r="S115" s="770"/>
      <c r="T115" s="770"/>
      <c r="U115" s="770"/>
      <c r="V115" s="770"/>
      <c r="W115" s="770" t="s">
        <v>1969</v>
      </c>
      <c r="X115" s="770"/>
      <c r="Y115" s="770"/>
      <c r="Z115" s="770"/>
      <c r="AA115" s="770"/>
      <c r="AB115" s="770"/>
      <c r="AC115" s="450"/>
      <c r="AD115" s="450"/>
      <c r="AE115" s="772">
        <f>D115*AY113</f>
        <v>0</v>
      </c>
      <c r="AF115" s="772"/>
      <c r="AG115" s="772"/>
      <c r="AH115" s="772"/>
      <c r="AI115" s="772"/>
      <c r="AJ115" s="774" t="s">
        <v>1970</v>
      </c>
      <c r="AK115" s="774"/>
      <c r="AL115" s="774"/>
      <c r="AM115" s="774"/>
      <c r="AN115" s="774"/>
      <c r="AO115" s="774"/>
      <c r="AP115" s="774"/>
      <c r="AQ115" s="436"/>
      <c r="AR115" s="448"/>
      <c r="AT115" s="228"/>
    </row>
    <row r="116" spans="2:51" ht="15.95" customHeight="1" thickBot="1" x14ac:dyDescent="0.4">
      <c r="B116" s="441"/>
      <c r="C116" s="437"/>
      <c r="D116" s="769"/>
      <c r="E116" s="769"/>
      <c r="F116" s="769"/>
      <c r="G116" s="769"/>
      <c r="H116" s="769"/>
      <c r="I116" s="769"/>
      <c r="J116" s="769"/>
      <c r="K116" s="769"/>
      <c r="L116" s="769"/>
      <c r="M116" s="438"/>
      <c r="N116" s="438"/>
      <c r="O116" s="438"/>
      <c r="P116" s="438"/>
      <c r="Q116" s="438"/>
      <c r="R116" s="771"/>
      <c r="S116" s="771"/>
      <c r="T116" s="771"/>
      <c r="U116" s="771"/>
      <c r="V116" s="771"/>
      <c r="W116" s="771"/>
      <c r="X116" s="771"/>
      <c r="Y116" s="771"/>
      <c r="Z116" s="771"/>
      <c r="AA116" s="771"/>
      <c r="AB116" s="771"/>
      <c r="AC116" s="439"/>
      <c r="AD116" s="438"/>
      <c r="AE116" s="773"/>
      <c r="AF116" s="773"/>
      <c r="AG116" s="773"/>
      <c r="AH116" s="773"/>
      <c r="AI116" s="773"/>
      <c r="AJ116" s="775"/>
      <c r="AK116" s="775"/>
      <c r="AL116" s="775"/>
      <c r="AM116" s="775"/>
      <c r="AN116" s="775"/>
      <c r="AO116" s="775"/>
      <c r="AP116" s="775"/>
      <c r="AQ116" s="440"/>
      <c r="AR116" s="448"/>
      <c r="AT116" t="s">
        <v>1319</v>
      </c>
      <c r="AY116">
        <v>4.71</v>
      </c>
    </row>
    <row r="117" spans="2:51" ht="15.95" customHeight="1" x14ac:dyDescent="0.25">
      <c r="B117" s="441"/>
      <c r="AR117" s="448"/>
      <c r="AT117" t="s">
        <v>1320</v>
      </c>
      <c r="AY117">
        <f>5.734/12</f>
        <v>0.47783333333333333</v>
      </c>
    </row>
    <row r="118" spans="2:51" ht="15.95" customHeight="1" x14ac:dyDescent="0.25">
      <c r="B118" s="451"/>
      <c r="F118" s="756" t="s">
        <v>1743</v>
      </c>
      <c r="G118" s="756"/>
      <c r="H118" s="756"/>
      <c r="I118" s="756"/>
      <c r="J118" s="756"/>
      <c r="K118" s="756"/>
      <c r="L118" s="756"/>
      <c r="M118" s="756"/>
      <c r="N118" s="756"/>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R118" s="448"/>
      <c r="AT118" t="s">
        <v>1321</v>
      </c>
      <c r="AY118" s="117">
        <v>2.87</v>
      </c>
    </row>
    <row r="119" spans="2:51" ht="15.95" customHeight="1" x14ac:dyDescent="0.25">
      <c r="B119" s="451"/>
      <c r="C119" s="797" t="s">
        <v>1760</v>
      </c>
      <c r="D119" s="797"/>
      <c r="E119" s="797"/>
      <c r="F119" s="797"/>
      <c r="G119" s="797"/>
      <c r="H119" s="797"/>
      <c r="I119" s="797"/>
      <c r="J119" s="797"/>
      <c r="K119" s="797"/>
      <c r="L119" s="797"/>
      <c r="M119" s="797"/>
      <c r="N119" s="797"/>
      <c r="O119" s="797"/>
      <c r="P119" s="797"/>
      <c r="Q119" s="797"/>
      <c r="R119" s="797"/>
      <c r="S119" s="797"/>
      <c r="T119" s="797"/>
      <c r="U119" s="797"/>
      <c r="V119" s="797"/>
      <c r="W119" s="797"/>
      <c r="X119" s="797"/>
      <c r="Y119" s="797"/>
      <c r="Z119" s="797"/>
      <c r="AA119" s="797"/>
      <c r="AB119" s="797"/>
      <c r="AC119" s="797"/>
      <c r="AD119" s="797"/>
      <c r="AE119" s="797"/>
      <c r="AF119" s="797"/>
      <c r="AG119" s="797"/>
      <c r="AH119" s="797"/>
      <c r="AI119" s="797"/>
      <c r="AJ119" s="797"/>
      <c r="AK119" s="797"/>
      <c r="AL119" s="797"/>
      <c r="AM119" s="797"/>
      <c r="AN119" s="797"/>
      <c r="AO119" s="797"/>
      <c r="AP119" s="797"/>
      <c r="AQ119" s="797"/>
      <c r="AR119" s="448"/>
      <c r="AT119" t="s">
        <v>1324</v>
      </c>
    </row>
    <row r="120" spans="2:51" ht="15.95" customHeight="1" x14ac:dyDescent="0.25">
      <c r="B120" s="451"/>
      <c r="C120" s="797"/>
      <c r="D120" s="797"/>
      <c r="E120" s="797"/>
      <c r="F120" s="797"/>
      <c r="G120" s="797"/>
      <c r="H120" s="797"/>
      <c r="I120" s="797"/>
      <c r="J120" s="797"/>
      <c r="K120" s="797"/>
      <c r="L120" s="797"/>
      <c r="M120" s="797"/>
      <c r="N120" s="797"/>
      <c r="O120" s="797"/>
      <c r="P120" s="797"/>
      <c r="Q120" s="797"/>
      <c r="R120" s="797"/>
      <c r="S120" s="797"/>
      <c r="T120" s="797"/>
      <c r="U120" s="797"/>
      <c r="V120" s="797"/>
      <c r="W120" s="797"/>
      <c r="X120" s="797"/>
      <c r="Y120" s="797"/>
      <c r="Z120" s="797"/>
      <c r="AA120" s="797"/>
      <c r="AB120" s="797"/>
      <c r="AC120" s="797"/>
      <c r="AD120" s="797"/>
      <c r="AE120" s="797"/>
      <c r="AF120" s="797"/>
      <c r="AG120" s="797"/>
      <c r="AH120" s="797"/>
      <c r="AI120" s="797"/>
      <c r="AJ120" s="797"/>
      <c r="AK120" s="797"/>
      <c r="AL120" s="797"/>
      <c r="AM120" s="797"/>
      <c r="AN120" s="797"/>
      <c r="AO120" s="797"/>
      <c r="AP120" s="797"/>
      <c r="AQ120" s="797"/>
      <c r="AR120" s="448"/>
    </row>
    <row r="121" spans="2:51" ht="15.95" customHeight="1" x14ac:dyDescent="0.25">
      <c r="B121" s="451"/>
      <c r="C121" s="460"/>
      <c r="D121" s="460"/>
      <c r="E121" s="460"/>
      <c r="F121" s="460"/>
      <c r="G121" s="460"/>
      <c r="H121" s="460"/>
      <c r="I121" s="460"/>
      <c r="J121" s="460"/>
      <c r="K121" s="460"/>
      <c r="L121" s="460"/>
      <c r="M121" s="460"/>
      <c r="N121" s="460"/>
      <c r="O121" s="460"/>
      <c r="P121" s="460"/>
      <c r="Q121" s="460"/>
      <c r="R121" s="460"/>
      <c r="S121" s="460"/>
      <c r="T121" s="460"/>
      <c r="U121" s="460"/>
      <c r="V121" s="460"/>
      <c r="W121" s="460"/>
      <c r="X121" s="460"/>
      <c r="Y121" s="460"/>
      <c r="Z121" s="460"/>
      <c r="AA121" s="460"/>
      <c r="AB121" s="460"/>
      <c r="AC121" s="460"/>
      <c r="AD121" s="460"/>
      <c r="AE121" s="460"/>
      <c r="AF121" s="460"/>
      <c r="AG121" s="460"/>
      <c r="AH121" s="460"/>
      <c r="AI121" s="460"/>
      <c r="AJ121" s="460"/>
      <c r="AK121" s="460"/>
      <c r="AL121" s="460"/>
      <c r="AM121" s="460"/>
      <c r="AN121" s="460"/>
      <c r="AO121" s="460"/>
      <c r="AP121" s="460"/>
      <c r="AQ121" s="460"/>
      <c r="AR121" s="448"/>
    </row>
    <row r="122" spans="2:51" ht="15.95" customHeight="1" x14ac:dyDescent="0.25">
      <c r="B122" s="451"/>
      <c r="C122" s="757" t="s">
        <v>1627</v>
      </c>
      <c r="D122" s="752"/>
      <c r="E122" s="752"/>
      <c r="F122" s="752"/>
      <c r="G122" s="752"/>
      <c r="H122" s="752"/>
      <c r="I122" s="229"/>
      <c r="J122" s="752" t="s">
        <v>733</v>
      </c>
      <c r="K122" s="752"/>
      <c r="L122" s="752"/>
      <c r="M122" s="752"/>
      <c r="N122" s="752"/>
      <c r="O122" s="752"/>
      <c r="P122" s="229"/>
      <c r="Q122" s="752" t="s">
        <v>730</v>
      </c>
      <c r="R122" s="752"/>
      <c r="S122" s="752"/>
      <c r="T122" s="752"/>
      <c r="U122" s="752"/>
      <c r="V122" s="752"/>
      <c r="W122" s="229"/>
      <c r="X122" s="752" t="s">
        <v>731</v>
      </c>
      <c r="Y122" s="752"/>
      <c r="Z122" s="752"/>
      <c r="AA122" s="752"/>
      <c r="AB122" s="752"/>
      <c r="AC122" s="752"/>
      <c r="AD122" s="229"/>
      <c r="AE122" s="752" t="s">
        <v>732</v>
      </c>
      <c r="AF122" s="752"/>
      <c r="AG122" s="752"/>
      <c r="AH122" s="752"/>
      <c r="AI122" s="752"/>
      <c r="AJ122" s="752"/>
      <c r="AK122" s="460"/>
      <c r="AL122" s="460"/>
      <c r="AM122" s="460"/>
      <c r="AN122" s="460"/>
      <c r="AO122" s="460"/>
      <c r="AP122" s="460"/>
      <c r="AQ122" s="460"/>
      <c r="AR122" s="448"/>
    </row>
    <row r="123" spans="2:51" ht="15.95" customHeight="1" x14ac:dyDescent="0.25">
      <c r="B123" s="451"/>
      <c r="C123" s="776"/>
      <c r="D123" s="777"/>
      <c r="E123" s="777"/>
      <c r="F123" s="777"/>
      <c r="G123" s="777"/>
      <c r="H123" s="778"/>
      <c r="I123" s="229"/>
      <c r="J123" s="776"/>
      <c r="K123" s="777"/>
      <c r="L123" s="777"/>
      <c r="M123" s="777"/>
      <c r="N123" s="777"/>
      <c r="O123" s="778"/>
      <c r="P123" s="229"/>
      <c r="Q123" s="776"/>
      <c r="R123" s="777"/>
      <c r="S123" s="777"/>
      <c r="T123" s="777"/>
      <c r="U123" s="777"/>
      <c r="V123" s="778"/>
      <c r="W123" s="229"/>
      <c r="X123" s="782" t="s">
        <v>331</v>
      </c>
      <c r="Y123" s="783"/>
      <c r="Z123" s="783"/>
      <c r="AA123" s="783"/>
      <c r="AB123" s="783"/>
      <c r="AC123" s="784"/>
      <c r="AD123" s="229"/>
      <c r="AE123" s="725"/>
      <c r="AF123" s="726"/>
      <c r="AG123" s="726"/>
      <c r="AH123" s="726"/>
      <c r="AI123" s="726"/>
      <c r="AJ123" s="727"/>
      <c r="AR123" s="448"/>
    </row>
    <row r="124" spans="2:51" ht="15.95" customHeight="1" x14ac:dyDescent="0.25">
      <c r="B124" s="451"/>
      <c r="AR124" s="448"/>
    </row>
    <row r="125" spans="2:51" ht="15.95" customHeight="1" x14ac:dyDescent="0.25">
      <c r="B125" s="451"/>
      <c r="C125" s="798" t="s">
        <v>725</v>
      </c>
      <c r="D125" s="752"/>
      <c r="E125" s="752"/>
      <c r="F125" s="752"/>
      <c r="G125" s="752"/>
      <c r="H125" s="752"/>
      <c r="J125" s="798" t="s">
        <v>726</v>
      </c>
      <c r="K125" s="752"/>
      <c r="L125" s="752"/>
      <c r="M125" s="752"/>
      <c r="N125" s="752"/>
      <c r="O125" s="752"/>
      <c r="P125" s="229"/>
      <c r="Q125" s="798" t="s">
        <v>727</v>
      </c>
      <c r="R125" s="752"/>
      <c r="S125" s="752"/>
      <c r="T125" s="752"/>
      <c r="U125" s="752"/>
      <c r="V125" s="752"/>
      <c r="W125" s="229"/>
      <c r="X125" s="799" t="s">
        <v>1589</v>
      </c>
      <c r="Y125" s="752"/>
      <c r="Z125" s="752"/>
      <c r="AA125" s="752"/>
      <c r="AB125" s="752"/>
      <c r="AC125" s="752"/>
      <c r="AD125" s="229"/>
      <c r="AE125" s="459" t="s">
        <v>729</v>
      </c>
      <c r="AF125" s="59"/>
      <c r="AG125" s="59"/>
      <c r="AH125" s="59"/>
      <c r="AI125" s="59"/>
      <c r="AJ125" s="59"/>
      <c r="AR125" s="448"/>
    </row>
    <row r="126" spans="2:51" ht="15.95" customHeight="1" x14ac:dyDescent="0.25">
      <c r="B126" s="451"/>
      <c r="C126" s="776"/>
      <c r="D126" s="777"/>
      <c r="E126" s="777"/>
      <c r="F126" s="777"/>
      <c r="G126" s="777"/>
      <c r="H126" s="778"/>
      <c r="J126" s="776"/>
      <c r="K126" s="777"/>
      <c r="L126" s="777"/>
      <c r="M126" s="777"/>
      <c r="N126" s="777"/>
      <c r="O126" s="778"/>
      <c r="P126" s="229"/>
      <c r="Q126" s="776"/>
      <c r="R126" s="777"/>
      <c r="S126" s="777"/>
      <c r="T126" s="777"/>
      <c r="U126" s="777"/>
      <c r="V126" s="778"/>
      <c r="W126" s="229"/>
      <c r="X126" s="793"/>
      <c r="Y126" s="749"/>
      <c r="Z126" s="749"/>
      <c r="AA126" s="749"/>
      <c r="AB126" s="749"/>
      <c r="AC126" s="750"/>
      <c r="AD126" s="229"/>
      <c r="AE126" s="794"/>
      <c r="AF126" s="795"/>
      <c r="AG126" s="795"/>
      <c r="AH126" s="795"/>
      <c r="AI126" s="795"/>
      <c r="AJ126" s="796"/>
      <c r="AR126" s="448"/>
    </row>
    <row r="127" spans="2:51" ht="15.95" customHeight="1" x14ac:dyDescent="0.25">
      <c r="B127" s="451"/>
      <c r="AR127" s="448"/>
    </row>
    <row r="128" spans="2:51" ht="15.95" customHeight="1" x14ac:dyDescent="0.25">
      <c r="B128" s="451"/>
      <c r="C128" s="752" t="s">
        <v>734</v>
      </c>
      <c r="D128" s="752"/>
      <c r="E128" s="752"/>
      <c r="F128" s="752"/>
      <c r="G128" s="752"/>
      <c r="H128" s="752"/>
      <c r="I128" s="229"/>
      <c r="J128" s="752" t="s">
        <v>735</v>
      </c>
      <c r="K128" s="752"/>
      <c r="L128" s="752"/>
      <c r="M128" s="752"/>
      <c r="N128" s="752"/>
      <c r="O128" s="752"/>
      <c r="P128" s="229"/>
      <c r="Q128" s="752" t="s">
        <v>736</v>
      </c>
      <c r="R128" s="752"/>
      <c r="S128" s="752"/>
      <c r="T128" s="752"/>
      <c r="U128" s="752"/>
      <c r="V128" s="752"/>
      <c r="X128" s="752" t="s">
        <v>737</v>
      </c>
      <c r="Y128" s="752"/>
      <c r="Z128" s="752"/>
      <c r="AA128" s="752"/>
      <c r="AB128" s="752"/>
      <c r="AC128" s="752"/>
      <c r="AE128" s="752" t="s">
        <v>738</v>
      </c>
      <c r="AF128" s="752"/>
      <c r="AG128" s="752"/>
      <c r="AH128" s="752"/>
      <c r="AI128" s="752"/>
      <c r="AJ128" s="752"/>
      <c r="AK128" s="229"/>
      <c r="AL128" s="752" t="s">
        <v>458</v>
      </c>
      <c r="AM128" s="752"/>
      <c r="AN128" s="752"/>
      <c r="AO128" s="752"/>
      <c r="AP128" s="752"/>
      <c r="AQ128" s="752"/>
      <c r="AR128" s="448"/>
    </row>
    <row r="129" spans="2:44" ht="15.95" customHeight="1" x14ac:dyDescent="0.25">
      <c r="B129" s="451"/>
      <c r="C129" s="800"/>
      <c r="D129" s="801"/>
      <c r="E129" s="801"/>
      <c r="F129" s="801"/>
      <c r="G129" s="801"/>
      <c r="H129" s="802"/>
      <c r="I129" s="229"/>
      <c r="J129" s="779"/>
      <c r="K129" s="780"/>
      <c r="L129" s="780"/>
      <c r="M129" s="780"/>
      <c r="N129" s="780"/>
      <c r="O129" s="781"/>
      <c r="P129" s="229"/>
      <c r="Q129" s="803"/>
      <c r="R129" s="801"/>
      <c r="S129" s="801"/>
      <c r="T129" s="801"/>
      <c r="U129" s="801"/>
      <c r="V129" s="802"/>
      <c r="X129" s="832">
        <v>8.8999999999999996E-2</v>
      </c>
      <c r="Y129" s="833"/>
      <c r="Z129" s="833"/>
      <c r="AA129" s="833"/>
      <c r="AB129" s="833"/>
      <c r="AC129" s="834"/>
      <c r="AE129" s="800"/>
      <c r="AF129" s="801"/>
      <c r="AG129" s="801"/>
      <c r="AH129" s="801"/>
      <c r="AI129" s="801"/>
      <c r="AJ129" s="802"/>
      <c r="AK129" s="229"/>
      <c r="AL129" s="800"/>
      <c r="AM129" s="801"/>
      <c r="AN129" s="801"/>
      <c r="AO129" s="801"/>
      <c r="AP129" s="801"/>
      <c r="AQ129" s="802"/>
      <c r="AR129" s="448"/>
    </row>
    <row r="130" spans="2:44" ht="15.95" customHeight="1" x14ac:dyDescent="0.25">
      <c r="B130" s="451"/>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448"/>
    </row>
    <row r="131" spans="2:44" ht="15.95" customHeight="1" x14ac:dyDescent="0.25">
      <c r="B131" s="451"/>
      <c r="C131" s="728" t="s">
        <v>1821</v>
      </c>
      <c r="D131" s="728"/>
      <c r="E131" s="728"/>
      <c r="F131" s="728"/>
      <c r="G131" s="728"/>
      <c r="H131" s="728"/>
      <c r="I131" s="728"/>
      <c r="J131" s="728"/>
      <c r="K131" s="728"/>
      <c r="L131" s="728"/>
      <c r="M131" s="728"/>
      <c r="N131" s="728"/>
      <c r="O131" s="728"/>
      <c r="P131" s="229"/>
      <c r="R131" s="425"/>
      <c r="S131" s="425"/>
      <c r="T131" s="425"/>
      <c r="U131" s="425"/>
      <c r="V131" s="425"/>
      <c r="W131" s="229"/>
      <c r="AR131" s="448"/>
    </row>
    <row r="132" spans="2:44" ht="15.95" customHeight="1" x14ac:dyDescent="0.25">
      <c r="B132" s="451"/>
      <c r="C132" s="728"/>
      <c r="D132" s="728"/>
      <c r="E132" s="728"/>
      <c r="F132" s="728"/>
      <c r="G132" s="728"/>
      <c r="H132" s="728"/>
      <c r="I132" s="728"/>
      <c r="J132" s="728"/>
      <c r="K132" s="728"/>
      <c r="L132" s="728"/>
      <c r="M132" s="728"/>
      <c r="N132" s="728"/>
      <c r="O132" s="728"/>
      <c r="P132" s="229"/>
      <c r="Q132" s="728" t="s">
        <v>1820</v>
      </c>
      <c r="R132" s="729"/>
      <c r="S132" s="729"/>
      <c r="T132" s="729"/>
      <c r="U132" s="729"/>
      <c r="V132" s="729"/>
      <c r="W132" s="729"/>
      <c r="X132" s="729"/>
      <c r="AR132" s="448"/>
    </row>
    <row r="133" spans="2:44" ht="15.95" customHeight="1" x14ac:dyDescent="0.25">
      <c r="B133" s="451"/>
      <c r="C133" s="776"/>
      <c r="D133" s="777"/>
      <c r="E133" s="777"/>
      <c r="F133" s="777"/>
      <c r="G133" s="777"/>
      <c r="H133" s="778"/>
      <c r="I133" s="326"/>
      <c r="J133" s="326"/>
      <c r="K133" s="326"/>
      <c r="L133" s="326"/>
      <c r="M133" s="326"/>
      <c r="N133" s="326"/>
      <c r="O133" s="326"/>
      <c r="P133" s="229"/>
      <c r="Q133" s="776"/>
      <c r="R133" s="777"/>
      <c r="S133" s="777"/>
      <c r="T133" s="777"/>
      <c r="U133" s="777"/>
      <c r="V133" s="778"/>
      <c r="W133" s="229"/>
      <c r="AR133" s="448"/>
    </row>
    <row r="134" spans="2:44" ht="15.95" customHeight="1" x14ac:dyDescent="0.25">
      <c r="B134" s="451"/>
      <c r="AR134" s="448"/>
    </row>
    <row r="135" spans="2:44" ht="15.95" customHeight="1" x14ac:dyDescent="0.3">
      <c r="B135" s="451"/>
      <c r="C135" s="59"/>
      <c r="D135" s="59"/>
      <c r="E135" s="59"/>
      <c r="F135" s="804" t="s">
        <v>395</v>
      </c>
      <c r="G135" s="804"/>
      <c r="H135" s="804"/>
      <c r="I135" s="804"/>
      <c r="J135" s="804"/>
      <c r="K135" s="804"/>
      <c r="L135" s="804"/>
      <c r="M135" s="804"/>
      <c r="N135" s="804"/>
      <c r="O135" s="804"/>
      <c r="P135" s="804"/>
      <c r="Q135" s="804"/>
      <c r="R135" s="804"/>
      <c r="S135" s="804"/>
      <c r="T135" s="804"/>
      <c r="U135" s="804"/>
      <c r="V135" s="804"/>
      <c r="W135" s="804"/>
      <c r="X135" s="804"/>
      <c r="Y135" s="804"/>
      <c r="Z135" s="804"/>
      <c r="AA135" s="804"/>
      <c r="AB135" s="804"/>
      <c r="AC135" s="804"/>
      <c r="AD135" s="804"/>
      <c r="AE135" s="804"/>
      <c r="AF135" s="804"/>
      <c r="AG135" s="804"/>
      <c r="AH135" s="804"/>
      <c r="AI135" s="804"/>
      <c r="AJ135" s="804"/>
      <c r="AK135" s="804"/>
      <c r="AL135" s="804"/>
      <c r="AM135" s="804"/>
      <c r="AN135" s="804"/>
      <c r="AO135" s="59"/>
      <c r="AP135" s="59"/>
      <c r="AQ135" s="59"/>
      <c r="AR135" s="448"/>
    </row>
    <row r="136" spans="2:44" ht="15.95" customHeight="1" x14ac:dyDescent="0.25">
      <c r="B136" s="451"/>
      <c r="C136" s="751" t="s">
        <v>1758</v>
      </c>
      <c r="D136" s="751"/>
      <c r="E136" s="751"/>
      <c r="F136" s="751"/>
      <c r="G136" s="751"/>
      <c r="H136" s="751"/>
      <c r="I136" s="751"/>
      <c r="J136" s="751"/>
      <c r="K136" s="751"/>
      <c r="L136" s="751"/>
      <c r="M136" s="751"/>
      <c r="N136" s="751"/>
      <c r="O136" s="751"/>
      <c r="P136" s="751"/>
      <c r="Q136" s="751"/>
      <c r="R136" s="751"/>
      <c r="S136" s="751"/>
      <c r="T136" s="751"/>
      <c r="U136" s="751"/>
      <c r="V136" s="751"/>
      <c r="W136" s="751"/>
      <c r="X136" s="751"/>
      <c r="Y136" s="751"/>
      <c r="Z136" s="751"/>
      <c r="AA136" s="751"/>
      <c r="AB136" s="751"/>
      <c r="AC136" s="751"/>
      <c r="AD136" s="751"/>
      <c r="AE136" s="751"/>
      <c r="AF136" s="751"/>
      <c r="AG136" s="751"/>
      <c r="AH136" s="751"/>
      <c r="AI136" s="751"/>
      <c r="AJ136" s="751"/>
      <c r="AK136" s="751"/>
      <c r="AL136" s="751"/>
      <c r="AM136" s="751"/>
      <c r="AN136" s="751"/>
      <c r="AO136" s="751"/>
      <c r="AP136" s="751"/>
      <c r="AQ136" s="751"/>
      <c r="AR136" s="448"/>
    </row>
    <row r="137" spans="2:44" ht="15.95" customHeight="1" x14ac:dyDescent="0.25">
      <c r="B137" s="451"/>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c r="AI137" s="449"/>
      <c r="AJ137" s="449"/>
      <c r="AK137" s="449"/>
      <c r="AL137" s="449"/>
      <c r="AM137" s="449"/>
      <c r="AN137" s="449"/>
      <c r="AO137" s="449"/>
      <c r="AP137" s="449"/>
      <c r="AQ137" s="449"/>
      <c r="AR137" s="448"/>
    </row>
    <row r="138" spans="2:44" ht="15.95" customHeight="1" x14ac:dyDescent="0.25">
      <c r="B138" s="451"/>
      <c r="C138" s="520" t="s">
        <v>985</v>
      </c>
      <c r="D138" s="520"/>
      <c r="E138" s="520"/>
      <c r="F138" s="520"/>
      <c r="G138" s="520"/>
      <c r="H138" s="520"/>
      <c r="I138" s="59"/>
      <c r="J138" s="520" t="s">
        <v>740</v>
      </c>
      <c r="K138" s="520"/>
      <c r="L138" s="520"/>
      <c r="M138" s="520"/>
      <c r="N138" s="520"/>
      <c r="O138" s="520"/>
      <c r="P138" s="229"/>
      <c r="Q138" s="520" t="s">
        <v>741</v>
      </c>
      <c r="R138" s="520"/>
      <c r="S138" s="520"/>
      <c r="T138" s="520"/>
      <c r="U138" s="520"/>
      <c r="V138" s="520"/>
      <c r="W138" s="229"/>
      <c r="X138" s="520" t="s">
        <v>742</v>
      </c>
      <c r="Y138" s="520"/>
      <c r="Z138" s="520"/>
      <c r="AA138" s="520"/>
      <c r="AB138" s="520"/>
      <c r="AC138" s="520"/>
      <c r="AD138" s="229"/>
      <c r="AE138" s="520" t="s">
        <v>743</v>
      </c>
      <c r="AF138" s="520"/>
      <c r="AG138" s="520"/>
      <c r="AH138" s="520"/>
      <c r="AI138" s="520"/>
      <c r="AJ138" s="520"/>
      <c r="AK138" s="229"/>
      <c r="AL138" s="520" t="s">
        <v>729</v>
      </c>
      <c r="AM138" s="520"/>
      <c r="AN138" s="520"/>
      <c r="AO138" s="520"/>
      <c r="AP138" s="520"/>
      <c r="AQ138" s="520"/>
      <c r="AR138" s="448"/>
    </row>
    <row r="139" spans="2:44" ht="15.95" customHeight="1" x14ac:dyDescent="0.25">
      <c r="B139" s="451"/>
      <c r="C139" s="742"/>
      <c r="D139" s="743"/>
      <c r="E139" s="743"/>
      <c r="F139" s="743"/>
      <c r="G139" s="743"/>
      <c r="H139" s="744"/>
      <c r="I139" s="229"/>
      <c r="J139" s="766" t="str">
        <f>IF(M02S04F01="","",INDEX(PAYMENT[Company],MATCH(M02S04F01,PAYMENT[Payment to],0)))</f>
        <v/>
      </c>
      <c r="K139" s="746"/>
      <c r="L139" s="746"/>
      <c r="M139" s="746"/>
      <c r="N139" s="746"/>
      <c r="O139" s="747"/>
      <c r="P139" s="229"/>
      <c r="Q139" s="745" t="str">
        <f>IF(M02S04F01="","",INDEX(PAYMENT[First],MATCH(M02S04F01,PAYMENT[Payment to],0)))</f>
        <v/>
      </c>
      <c r="R139" s="746"/>
      <c r="S139" s="746"/>
      <c r="T139" s="746"/>
      <c r="U139" s="746"/>
      <c r="V139" s="747"/>
      <c r="W139" s="229"/>
      <c r="X139" s="745" t="str">
        <f>IF(M02S04F01="","",INDEX(PAYMENT[Last],MATCH(M02S04F01,PAYMENT[Payment to],0)))</f>
        <v/>
      </c>
      <c r="Y139" s="746"/>
      <c r="Z139" s="746"/>
      <c r="AA139" s="746"/>
      <c r="AB139" s="746"/>
      <c r="AC139" s="747"/>
      <c r="AD139" s="229"/>
      <c r="AE139" s="748" t="str">
        <f>IF(M02S04F01="","",INDEX(PAYMENT[Phone],MATCH(M02S04F01,PAYMENT[Payment to],0)))</f>
        <v/>
      </c>
      <c r="AF139" s="749"/>
      <c r="AG139" s="749"/>
      <c r="AH139" s="749"/>
      <c r="AI139" s="749"/>
      <c r="AJ139" s="750"/>
      <c r="AK139" s="229"/>
      <c r="AL139" s="745" t="str">
        <f>IF(M02S04F01="","",INDEX(PAYMENT[Email],MATCH(M02S04F01,PAYMENT[Payment to],0)))</f>
        <v/>
      </c>
      <c r="AM139" s="746"/>
      <c r="AN139" s="746"/>
      <c r="AO139" s="746"/>
      <c r="AP139" s="746"/>
      <c r="AQ139" s="747"/>
      <c r="AR139" s="448"/>
    </row>
    <row r="140" spans="2:44" ht="15.95" customHeight="1" x14ac:dyDescent="0.25">
      <c r="B140" s="451"/>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448"/>
    </row>
    <row r="141" spans="2:44" ht="15.95" customHeight="1" x14ac:dyDescent="0.25">
      <c r="B141" s="451"/>
      <c r="C141" s="520" t="s">
        <v>992</v>
      </c>
      <c r="D141" s="520"/>
      <c r="E141" s="520"/>
      <c r="F141" s="520"/>
      <c r="G141" s="520"/>
      <c r="H141" s="520"/>
      <c r="J141" s="520" t="s">
        <v>739</v>
      </c>
      <c r="K141" s="520"/>
      <c r="L141" s="520"/>
      <c r="M141" s="520"/>
      <c r="N141" s="520"/>
      <c r="O141" s="520"/>
      <c r="P141" s="229"/>
      <c r="Q141" s="520" t="s">
        <v>730</v>
      </c>
      <c r="R141" s="520"/>
      <c r="S141" s="520"/>
      <c r="T141" s="520"/>
      <c r="U141" s="520"/>
      <c r="V141" s="520"/>
      <c r="W141" s="229"/>
      <c r="X141" s="642" t="s">
        <v>1880</v>
      </c>
      <c r="Y141" s="520"/>
      <c r="Z141" s="520"/>
      <c r="AA141" s="520"/>
      <c r="AB141" s="520"/>
      <c r="AC141" s="520"/>
      <c r="AD141" s="229"/>
      <c r="AE141" s="642" t="s">
        <v>1881</v>
      </c>
      <c r="AF141" s="520"/>
      <c r="AG141" s="520"/>
      <c r="AH141" s="520"/>
      <c r="AI141" s="520"/>
      <c r="AJ141" s="520"/>
      <c r="AR141" s="448"/>
    </row>
    <row r="142" spans="2:44" ht="15.95" customHeight="1" x14ac:dyDescent="0.25">
      <c r="B142" s="451"/>
      <c r="C142" s="766" t="str">
        <f>IF(M02S02F37&lt;&gt;0,M02S02F37,IF(M02S02F38&lt;&gt;0,M02S02F38,""))</f>
        <v/>
      </c>
      <c r="D142" s="746"/>
      <c r="E142" s="746"/>
      <c r="F142" s="746"/>
      <c r="G142" s="746"/>
      <c r="H142" s="747"/>
      <c r="J142" s="765" t="str">
        <f>IF(M02S04F01="","",INDEX(PAYMENT[Address],MATCH(M02S04F01,PAYMENT[Payment to],0)))</f>
        <v/>
      </c>
      <c r="K142" s="746"/>
      <c r="L142" s="746"/>
      <c r="M142" s="746"/>
      <c r="N142" s="746"/>
      <c r="O142" s="747"/>
      <c r="P142" s="229"/>
      <c r="Q142" s="766" t="str">
        <f>IF(M02S04F01="","",INDEX(PAYMENT[City],MATCH(M02S04F01,PAYMENT[Payment to],0)))</f>
        <v/>
      </c>
      <c r="R142" s="746"/>
      <c r="S142" s="746"/>
      <c r="T142" s="746"/>
      <c r="U142" s="746"/>
      <c r="V142" s="747"/>
      <c r="W142" s="229"/>
      <c r="X142" s="766"/>
      <c r="Y142" s="746"/>
      <c r="Z142" s="746"/>
      <c r="AA142" s="746"/>
      <c r="AB142" s="746"/>
      <c r="AC142" s="747"/>
      <c r="AD142" s="229"/>
      <c r="AE142" s="739" t="str">
        <f>IF(M02S04F01="","",INDEX(PAYMENT[Zip],MATCH(M02S04F01,PAYMENT[Payment to],0)))</f>
        <v/>
      </c>
      <c r="AF142" s="740"/>
      <c r="AG142" s="740"/>
      <c r="AH142" s="740"/>
      <c r="AI142" s="740"/>
      <c r="AJ142" s="741"/>
      <c r="AR142" s="448"/>
    </row>
    <row r="143" spans="2:44" ht="15.95" customHeight="1" x14ac:dyDescent="0.25">
      <c r="B143" s="451"/>
      <c r="C143" s="229"/>
      <c r="D143" s="229"/>
      <c r="E143" s="229"/>
      <c r="F143" s="229"/>
      <c r="G143" s="229"/>
      <c r="H143" s="229"/>
      <c r="I143" s="229"/>
      <c r="J143" s="477" t="str">
        <f>IF(AND(OR(INCENSTATUS="---",INCENSTATUS&lt;50000),OR(ISNUMBER(SEARCH("PO Box",M02S04F07)),ISNUMBER(SEARCH("P.O. Box",M02S04F07)),ISNUMBER(SEARCH("P.O Box",M02S04F07)))),"PO Boxes are only permitted for incentive payments less than $50,000",IF(AND(INCENSTATUS&gt;=50000,OR(ISNUMBER(SEARCH("PO Box",M02S04F07)),ISNUMBER(SEARCH("P.O. Box",M02S04F07)),ISNUMBER(SEARCH("P.O Box",M02S04F07)))),"Please enter a physical site address. PO Boxes are not permitted for incentive payments greater than $50,000",""))</f>
        <v/>
      </c>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448"/>
    </row>
    <row r="144" spans="2:44" ht="15.95" customHeight="1" x14ac:dyDescent="0.3">
      <c r="B144" s="451"/>
      <c r="C144" s="59"/>
      <c r="D144" s="59"/>
      <c r="E144" s="59"/>
      <c r="F144" s="804" t="s">
        <v>2036</v>
      </c>
      <c r="G144" s="804"/>
      <c r="H144" s="804"/>
      <c r="I144" s="804"/>
      <c r="J144" s="804"/>
      <c r="K144" s="804"/>
      <c r="L144" s="804"/>
      <c r="M144" s="804"/>
      <c r="N144" s="804"/>
      <c r="O144" s="804"/>
      <c r="P144" s="804"/>
      <c r="Q144" s="804"/>
      <c r="R144" s="804"/>
      <c r="S144" s="804"/>
      <c r="T144" s="804"/>
      <c r="U144" s="804"/>
      <c r="V144" s="804"/>
      <c r="W144" s="804"/>
      <c r="X144" s="804"/>
      <c r="Y144" s="804"/>
      <c r="Z144" s="804"/>
      <c r="AA144" s="804"/>
      <c r="AB144" s="804"/>
      <c r="AC144" s="804"/>
      <c r="AD144" s="804"/>
      <c r="AE144" s="804"/>
      <c r="AF144" s="804"/>
      <c r="AG144" s="804"/>
      <c r="AH144" s="804"/>
      <c r="AI144" s="804"/>
      <c r="AJ144" s="804"/>
      <c r="AK144" s="804"/>
      <c r="AL144" s="804"/>
      <c r="AM144" s="804"/>
      <c r="AN144" s="804"/>
      <c r="AO144" s="59"/>
      <c r="AP144" s="59"/>
      <c r="AQ144" s="59"/>
      <c r="AR144" s="448"/>
    </row>
    <row r="145" spans="2:44" ht="15.95" customHeight="1" x14ac:dyDescent="0.25">
      <c r="B145" s="451"/>
      <c r="C145" s="751" t="s">
        <v>2037</v>
      </c>
      <c r="D145" s="751"/>
      <c r="E145" s="751"/>
      <c r="F145" s="751"/>
      <c r="G145" s="751"/>
      <c r="H145" s="751"/>
      <c r="I145" s="751"/>
      <c r="J145" s="751"/>
      <c r="K145" s="751"/>
      <c r="L145" s="751"/>
      <c r="M145" s="751"/>
      <c r="N145" s="751"/>
      <c r="O145" s="751"/>
      <c r="P145" s="751"/>
      <c r="Q145" s="751"/>
      <c r="R145" s="751"/>
      <c r="S145" s="751"/>
      <c r="T145" s="751"/>
      <c r="U145" s="751"/>
      <c r="V145" s="751"/>
      <c r="W145" s="751"/>
      <c r="X145" s="751"/>
      <c r="Y145" s="751"/>
      <c r="Z145" s="751"/>
      <c r="AA145" s="751"/>
      <c r="AB145" s="751"/>
      <c r="AC145" s="751"/>
      <c r="AD145" s="751"/>
      <c r="AE145" s="751"/>
      <c r="AF145" s="751"/>
      <c r="AG145" s="751"/>
      <c r="AH145" s="751"/>
      <c r="AI145" s="751"/>
      <c r="AJ145" s="751"/>
      <c r="AK145" s="751"/>
      <c r="AL145" s="751"/>
      <c r="AM145" s="751"/>
      <c r="AN145" s="751"/>
      <c r="AO145" s="751"/>
      <c r="AP145" s="751"/>
      <c r="AQ145" s="751"/>
      <c r="AR145" s="448"/>
    </row>
    <row r="146" spans="2:44" ht="15.95" customHeight="1" x14ac:dyDescent="0.25">
      <c r="B146" s="451"/>
      <c r="C146" s="229"/>
      <c r="D146" s="229"/>
      <c r="E146" s="229"/>
      <c r="F146" s="229"/>
      <c r="G146" s="229"/>
      <c r="H146" s="229"/>
      <c r="I146" s="229"/>
      <c r="AK146" s="229"/>
      <c r="AL146" s="229"/>
      <c r="AM146" s="229"/>
      <c r="AN146" s="229"/>
      <c r="AO146" s="229"/>
      <c r="AP146" s="229"/>
      <c r="AQ146" s="229"/>
      <c r="AR146" s="448"/>
    </row>
    <row r="147" spans="2:44" ht="15.95" customHeight="1" x14ac:dyDescent="0.25">
      <c r="B147" s="451"/>
      <c r="C147" s="642" t="s">
        <v>2038</v>
      </c>
      <c r="D147" s="520"/>
      <c r="E147" s="520"/>
      <c r="F147" s="520"/>
      <c r="G147" s="520"/>
      <c r="H147" s="520"/>
      <c r="J147" s="642" t="s">
        <v>739</v>
      </c>
      <c r="K147" s="520"/>
      <c r="L147" s="520"/>
      <c r="M147" s="520"/>
      <c r="N147" s="520"/>
      <c r="O147" s="520"/>
      <c r="P147" s="229"/>
      <c r="Q147" s="642" t="s">
        <v>730</v>
      </c>
      <c r="R147" s="520"/>
      <c r="S147" s="520"/>
      <c r="T147" s="520"/>
      <c r="U147" s="520"/>
      <c r="V147" s="520"/>
      <c r="W147" s="229"/>
      <c r="X147" s="642" t="s">
        <v>1880</v>
      </c>
      <c r="Y147" s="520"/>
      <c r="Z147" s="520"/>
      <c r="AA147" s="520"/>
      <c r="AB147" s="520"/>
      <c r="AC147" s="520"/>
      <c r="AE147" s="642" t="s">
        <v>1881</v>
      </c>
      <c r="AF147" s="520"/>
      <c r="AG147" s="520"/>
      <c r="AH147" s="520"/>
      <c r="AI147" s="520"/>
      <c r="AJ147" s="520"/>
      <c r="AR147" s="448"/>
    </row>
    <row r="148" spans="2:44" ht="15.95" customHeight="1" x14ac:dyDescent="0.25">
      <c r="B148" s="451"/>
      <c r="C148" s="846"/>
      <c r="D148" s="746"/>
      <c r="E148" s="746"/>
      <c r="F148" s="746"/>
      <c r="G148" s="746"/>
      <c r="H148" s="747"/>
      <c r="I148" s="229"/>
      <c r="J148" s="846"/>
      <c r="K148" s="746"/>
      <c r="L148" s="746"/>
      <c r="M148" s="746"/>
      <c r="N148" s="746"/>
      <c r="O148" s="747"/>
      <c r="P148" s="229"/>
      <c r="Q148" s="846"/>
      <c r="R148" s="746"/>
      <c r="S148" s="746"/>
      <c r="T148" s="746"/>
      <c r="U148" s="746"/>
      <c r="V148" s="747"/>
      <c r="W148" s="229"/>
      <c r="X148" s="846"/>
      <c r="Y148" s="746"/>
      <c r="Z148" s="746"/>
      <c r="AA148" s="746"/>
      <c r="AB148" s="746"/>
      <c r="AC148" s="747"/>
      <c r="AE148" s="739"/>
      <c r="AF148" s="740"/>
      <c r="AG148" s="740"/>
      <c r="AH148" s="740"/>
      <c r="AI148" s="740"/>
      <c r="AJ148" s="741"/>
      <c r="AR148" s="448"/>
    </row>
    <row r="149" spans="2:44" ht="15.95" customHeight="1" x14ac:dyDescent="0.25">
      <c r="B149" s="451"/>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448"/>
    </row>
    <row r="150" spans="2:44" ht="15.95" customHeight="1" x14ac:dyDescent="0.25">
      <c r="B150" s="451"/>
      <c r="C150" s="520" t="s">
        <v>744</v>
      </c>
      <c r="D150" s="520"/>
      <c r="E150" s="520"/>
      <c r="F150" s="520"/>
      <c r="G150" s="520"/>
      <c r="H150" s="520"/>
      <c r="I150" s="59"/>
      <c r="J150" s="520" t="s">
        <v>745</v>
      </c>
      <c r="K150" s="520"/>
      <c r="L150" s="520"/>
      <c r="M150" s="520"/>
      <c r="N150" s="520"/>
      <c r="O150" s="520"/>
      <c r="P150" s="229"/>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R150" s="448"/>
    </row>
    <row r="151" spans="2:44" ht="15.95" customHeight="1" x14ac:dyDescent="0.25">
      <c r="B151" s="451"/>
      <c r="C151" s="742"/>
      <c r="D151" s="743"/>
      <c r="E151" s="743"/>
      <c r="F151" s="743"/>
      <c r="G151" s="743"/>
      <c r="H151" s="744"/>
      <c r="I151" s="229"/>
      <c r="J151" s="432"/>
      <c r="K151" s="349" t="s">
        <v>352</v>
      </c>
      <c r="L151" s="758"/>
      <c r="M151" s="743"/>
      <c r="N151" s="743"/>
      <c r="O151" s="744"/>
      <c r="AD151" s="229"/>
      <c r="AE151" s="229"/>
      <c r="AF151" s="229"/>
      <c r="AG151" s="229"/>
      <c r="AH151" s="229"/>
      <c r="AI151" s="229"/>
      <c r="AJ151" s="476"/>
      <c r="AK151" s="229"/>
      <c r="AR151" s="448"/>
    </row>
    <row r="152" spans="2:44" ht="15.95" customHeight="1" x14ac:dyDescent="0.25">
      <c r="B152" s="451"/>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448"/>
    </row>
    <row r="153" spans="2:44" ht="15.95" customHeight="1" x14ac:dyDescent="0.25">
      <c r="B153" s="451"/>
      <c r="C153" s="350" t="s">
        <v>1736</v>
      </c>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2"/>
      <c r="AR153" s="448"/>
    </row>
    <row r="154" spans="2:44" ht="15.95" customHeight="1" x14ac:dyDescent="0.25">
      <c r="B154" s="451"/>
      <c r="C154" s="353"/>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c r="AI154" s="327"/>
      <c r="AJ154" s="327"/>
      <c r="AK154" s="327"/>
      <c r="AL154" s="327"/>
      <c r="AM154" s="327"/>
      <c r="AN154" s="327"/>
      <c r="AO154" s="327"/>
      <c r="AP154" s="327"/>
      <c r="AQ154" s="354"/>
      <c r="AR154" s="448"/>
    </row>
    <row r="155" spans="2:44" ht="15.95" customHeight="1" x14ac:dyDescent="0.25">
      <c r="B155" s="451"/>
      <c r="C155" s="355" t="s">
        <v>1735</v>
      </c>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c r="AM155" s="356"/>
      <c r="AN155" s="356"/>
      <c r="AO155" s="356"/>
      <c r="AP155" s="356"/>
      <c r="AQ155" s="357"/>
      <c r="AR155" s="448"/>
    </row>
    <row r="156" spans="2:44" ht="15.95" customHeight="1" x14ac:dyDescent="0.25">
      <c r="B156" s="451"/>
      <c r="AR156" s="448"/>
    </row>
    <row r="157" spans="2:44" ht="15.95" customHeight="1" x14ac:dyDescent="0.25">
      <c r="B157" s="451"/>
      <c r="C157" s="358"/>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59"/>
      <c r="AD157" s="359"/>
      <c r="AE157" s="359"/>
      <c r="AF157" s="359"/>
      <c r="AG157" s="359"/>
      <c r="AH157" s="359"/>
      <c r="AI157" s="359"/>
      <c r="AJ157" s="359"/>
      <c r="AK157" s="359"/>
      <c r="AL157" s="359"/>
      <c r="AM157" s="359"/>
      <c r="AN157" s="359"/>
      <c r="AO157" s="359"/>
      <c r="AP157" s="359"/>
      <c r="AQ157" s="360"/>
      <c r="AR157" s="448"/>
    </row>
    <row r="158" spans="2:44" ht="15.95" customHeight="1" x14ac:dyDescent="0.25">
      <c r="B158" s="451"/>
      <c r="C158" s="361" t="s">
        <v>1711</v>
      </c>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62"/>
      <c r="AR158" s="448"/>
    </row>
    <row r="159" spans="2:44" ht="15.95" customHeight="1" x14ac:dyDescent="0.25">
      <c r="B159" s="451"/>
      <c r="C159" s="363"/>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62"/>
      <c r="AR159" s="448"/>
    </row>
    <row r="160" spans="2:44" ht="15.95" customHeight="1" x14ac:dyDescent="0.25">
      <c r="B160" s="451"/>
      <c r="C160" s="363" t="s">
        <v>1712</v>
      </c>
      <c r="D160" s="328" t="s">
        <v>1729</v>
      </c>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62"/>
      <c r="AR160" s="448"/>
    </row>
    <row r="161" spans="2:44" ht="15.95" customHeight="1" x14ac:dyDescent="0.25">
      <c r="B161" s="451"/>
      <c r="C161" s="363" t="s">
        <v>1713</v>
      </c>
      <c r="D161" s="328" t="s">
        <v>1714</v>
      </c>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c r="AA161" s="328"/>
      <c r="AB161" s="328"/>
      <c r="AC161" s="328"/>
      <c r="AD161" s="328"/>
      <c r="AE161" s="328"/>
      <c r="AF161" s="328"/>
      <c r="AG161" s="328"/>
      <c r="AH161" s="328"/>
      <c r="AI161" s="328"/>
      <c r="AJ161" s="328"/>
      <c r="AK161" s="328"/>
      <c r="AL161" s="328"/>
      <c r="AM161" s="328"/>
      <c r="AN161" s="328"/>
      <c r="AO161" s="328"/>
      <c r="AP161" s="328"/>
      <c r="AQ161" s="362"/>
      <c r="AR161" s="448"/>
    </row>
    <row r="162" spans="2:44" ht="15.95" customHeight="1" x14ac:dyDescent="0.25">
      <c r="B162" s="451"/>
      <c r="C162" s="363" t="s">
        <v>1715</v>
      </c>
      <c r="D162" s="328" t="s">
        <v>1716</v>
      </c>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c r="AQ162" s="362"/>
      <c r="AR162" s="448"/>
    </row>
    <row r="163" spans="2:44" ht="15.95" customHeight="1" x14ac:dyDescent="0.25">
      <c r="B163" s="451"/>
      <c r="C163" s="363"/>
      <c r="D163" s="328" t="s">
        <v>1717</v>
      </c>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62"/>
      <c r="AR163" s="448"/>
    </row>
    <row r="164" spans="2:44" ht="15.95" customHeight="1" x14ac:dyDescent="0.25">
      <c r="B164" s="451"/>
      <c r="C164" s="363" t="s">
        <v>1718</v>
      </c>
      <c r="D164" s="328" t="s">
        <v>2103</v>
      </c>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62"/>
      <c r="AR164" s="448"/>
    </row>
    <row r="165" spans="2:44" ht="15.95" customHeight="1" x14ac:dyDescent="0.25">
      <c r="B165" s="451"/>
      <c r="C165" s="363" t="s">
        <v>1719</v>
      </c>
      <c r="D165" s="328" t="s">
        <v>1725</v>
      </c>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328"/>
      <c r="AE165" s="328"/>
      <c r="AF165" s="328"/>
      <c r="AG165" s="328"/>
      <c r="AH165" s="328"/>
      <c r="AI165" s="328"/>
      <c r="AJ165" s="328"/>
      <c r="AK165" s="328"/>
      <c r="AL165" s="328"/>
      <c r="AM165" s="328"/>
      <c r="AN165" s="328"/>
      <c r="AO165" s="328"/>
      <c r="AP165" s="328"/>
      <c r="AQ165" s="362"/>
      <c r="AR165" s="448"/>
    </row>
    <row r="166" spans="2:44" ht="15.95" customHeight="1" x14ac:dyDescent="0.25">
      <c r="B166" s="451"/>
      <c r="C166" s="363"/>
      <c r="D166" s="328" t="s">
        <v>1724</v>
      </c>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62"/>
      <c r="AR166" s="448"/>
    </row>
    <row r="167" spans="2:44" ht="15.95" customHeight="1" x14ac:dyDescent="0.25">
      <c r="B167" s="451"/>
      <c r="C167" s="363" t="s">
        <v>1720</v>
      </c>
      <c r="D167" s="328" t="s">
        <v>1721</v>
      </c>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62"/>
      <c r="AR167" s="448"/>
    </row>
    <row r="168" spans="2:44" ht="15.95" customHeight="1" x14ac:dyDescent="0.25">
      <c r="B168" s="451"/>
      <c r="C168" s="363" t="s">
        <v>1722</v>
      </c>
      <c r="D168" s="328" t="s">
        <v>1723</v>
      </c>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62"/>
      <c r="AR168" s="448"/>
    </row>
    <row r="169" spans="2:44" ht="15.95" customHeight="1" x14ac:dyDescent="0.25">
      <c r="B169" s="451"/>
      <c r="C169" s="364"/>
      <c r="D169" s="365"/>
      <c r="E169" s="365"/>
      <c r="F169" s="365"/>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c r="AK169" s="365"/>
      <c r="AL169" s="365"/>
      <c r="AM169" s="365"/>
      <c r="AN169" s="365"/>
      <c r="AO169" s="365"/>
      <c r="AP169" s="365"/>
      <c r="AQ169" s="366"/>
      <c r="AR169" s="448"/>
    </row>
    <row r="170" spans="2:44" ht="15.95" customHeight="1" x14ac:dyDescent="0.25">
      <c r="B170" s="451"/>
      <c r="AR170" s="448"/>
    </row>
    <row r="171" spans="2:44" ht="15.95" customHeight="1" x14ac:dyDescent="0.25">
      <c r="B171" s="451"/>
      <c r="C171" s="815" t="str">
        <f>IF(M02S04F01="",INDEX(PAYMENT[Terms],MATCH("Site (Bill Credit)",PAYMENT[Payment to],0)),INDEX(PAYMENT[Terms],MATCH(M02S04F01,PAYMENT[Payment to],0)))</f>
        <v>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v>
      </c>
      <c r="D171" s="816"/>
      <c r="E171" s="816"/>
      <c r="F171" s="816"/>
      <c r="G171" s="816"/>
      <c r="H171" s="816"/>
      <c r="I171" s="816"/>
      <c r="J171" s="816"/>
      <c r="K171" s="816"/>
      <c r="L171" s="816"/>
      <c r="M171" s="816"/>
      <c r="N171" s="816"/>
      <c r="O171" s="816"/>
      <c r="P171" s="816"/>
      <c r="Q171" s="816"/>
      <c r="R171" s="816"/>
      <c r="S171" s="816"/>
      <c r="T171" s="816"/>
      <c r="U171" s="816"/>
      <c r="V171" s="816"/>
      <c r="W171" s="816"/>
      <c r="X171" s="816"/>
      <c r="Y171" s="816"/>
      <c r="Z171" s="816"/>
      <c r="AA171" s="816"/>
      <c r="AB171" s="816"/>
      <c r="AC171" s="816"/>
      <c r="AD171" s="816"/>
      <c r="AE171" s="816"/>
      <c r="AF171" s="816"/>
      <c r="AG171" s="816"/>
      <c r="AH171" s="816"/>
      <c r="AI171" s="816"/>
      <c r="AJ171" s="816"/>
      <c r="AK171" s="816"/>
      <c r="AL171" s="816"/>
      <c r="AM171" s="816"/>
      <c r="AN171" s="816"/>
      <c r="AO171" s="816"/>
      <c r="AP171" s="816"/>
      <c r="AQ171" s="817"/>
      <c r="AR171" s="448"/>
    </row>
    <row r="172" spans="2:44" ht="15.95" customHeight="1" x14ac:dyDescent="0.25">
      <c r="B172" s="451"/>
      <c r="C172" s="818"/>
      <c r="D172" s="819"/>
      <c r="E172" s="819"/>
      <c r="F172" s="819"/>
      <c r="G172" s="819"/>
      <c r="H172" s="819"/>
      <c r="I172" s="819"/>
      <c r="J172" s="819"/>
      <c r="K172" s="819"/>
      <c r="L172" s="819"/>
      <c r="M172" s="819"/>
      <c r="N172" s="819"/>
      <c r="O172" s="819"/>
      <c r="P172" s="819"/>
      <c r="Q172" s="819"/>
      <c r="R172" s="819"/>
      <c r="S172" s="819"/>
      <c r="T172" s="819"/>
      <c r="U172" s="819"/>
      <c r="V172" s="819"/>
      <c r="W172" s="819"/>
      <c r="X172" s="819"/>
      <c r="Y172" s="819"/>
      <c r="Z172" s="819"/>
      <c r="AA172" s="819"/>
      <c r="AB172" s="819"/>
      <c r="AC172" s="819"/>
      <c r="AD172" s="819"/>
      <c r="AE172" s="819"/>
      <c r="AF172" s="819"/>
      <c r="AG172" s="819"/>
      <c r="AH172" s="819"/>
      <c r="AI172" s="819"/>
      <c r="AJ172" s="819"/>
      <c r="AK172" s="819"/>
      <c r="AL172" s="819"/>
      <c r="AM172" s="819"/>
      <c r="AN172" s="819"/>
      <c r="AO172" s="819"/>
      <c r="AP172" s="819"/>
      <c r="AQ172" s="820"/>
      <c r="AR172" s="448"/>
    </row>
    <row r="173" spans="2:44" ht="15.95" customHeight="1" x14ac:dyDescent="0.25">
      <c r="B173" s="451"/>
      <c r="C173" s="818"/>
      <c r="D173" s="819"/>
      <c r="E173" s="819"/>
      <c r="F173" s="819"/>
      <c r="G173" s="819"/>
      <c r="H173" s="819"/>
      <c r="I173" s="819"/>
      <c r="J173" s="819"/>
      <c r="K173" s="819"/>
      <c r="L173" s="819"/>
      <c r="M173" s="819"/>
      <c r="N173" s="819"/>
      <c r="O173" s="819"/>
      <c r="P173" s="819"/>
      <c r="Q173" s="819"/>
      <c r="R173" s="819"/>
      <c r="S173" s="819"/>
      <c r="T173" s="819"/>
      <c r="U173" s="819"/>
      <c r="V173" s="819"/>
      <c r="W173" s="819"/>
      <c r="X173" s="819"/>
      <c r="Y173" s="819"/>
      <c r="Z173" s="819"/>
      <c r="AA173" s="819"/>
      <c r="AB173" s="819"/>
      <c r="AC173" s="819"/>
      <c r="AD173" s="819"/>
      <c r="AE173" s="819"/>
      <c r="AF173" s="819"/>
      <c r="AG173" s="819"/>
      <c r="AH173" s="819"/>
      <c r="AI173" s="819"/>
      <c r="AJ173" s="819"/>
      <c r="AK173" s="819"/>
      <c r="AL173" s="819"/>
      <c r="AM173" s="819"/>
      <c r="AN173" s="819"/>
      <c r="AO173" s="819"/>
      <c r="AP173" s="819"/>
      <c r="AQ173" s="820"/>
      <c r="AR173" s="448"/>
    </row>
    <row r="174" spans="2:44" ht="15.95" customHeight="1" x14ac:dyDescent="0.25">
      <c r="B174" s="451"/>
      <c r="C174" s="818"/>
      <c r="D174" s="819"/>
      <c r="E174" s="819"/>
      <c r="F174" s="819"/>
      <c r="G174" s="819"/>
      <c r="H174" s="819"/>
      <c r="I174" s="819"/>
      <c r="J174" s="819"/>
      <c r="K174" s="819"/>
      <c r="L174" s="819"/>
      <c r="M174" s="819"/>
      <c r="N174" s="819"/>
      <c r="O174" s="819"/>
      <c r="P174" s="819"/>
      <c r="Q174" s="819"/>
      <c r="R174" s="819"/>
      <c r="S174" s="819"/>
      <c r="T174" s="819"/>
      <c r="U174" s="819"/>
      <c r="V174" s="819"/>
      <c r="W174" s="819"/>
      <c r="X174" s="819"/>
      <c r="Y174" s="819"/>
      <c r="Z174" s="819"/>
      <c r="AA174" s="819"/>
      <c r="AB174" s="819"/>
      <c r="AC174" s="819"/>
      <c r="AD174" s="819"/>
      <c r="AE174" s="819"/>
      <c r="AF174" s="819"/>
      <c r="AG174" s="819"/>
      <c r="AH174" s="819"/>
      <c r="AI174" s="819"/>
      <c r="AJ174" s="819"/>
      <c r="AK174" s="819"/>
      <c r="AL174" s="819"/>
      <c r="AM174" s="819"/>
      <c r="AN174" s="819"/>
      <c r="AO174" s="819"/>
      <c r="AP174" s="819"/>
      <c r="AQ174" s="820"/>
      <c r="AR174" s="448"/>
    </row>
    <row r="175" spans="2:44" ht="15.95" customHeight="1" x14ac:dyDescent="0.25">
      <c r="B175" s="451"/>
      <c r="C175" s="821"/>
      <c r="D175" s="822"/>
      <c r="E175" s="822"/>
      <c r="F175" s="822"/>
      <c r="G175" s="822"/>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2"/>
      <c r="AL175" s="822"/>
      <c r="AM175" s="822"/>
      <c r="AN175" s="822"/>
      <c r="AO175" s="822"/>
      <c r="AP175" s="822"/>
      <c r="AQ175" s="823"/>
      <c r="AR175" s="448"/>
    </row>
    <row r="176" spans="2:44" ht="15.95" customHeight="1" x14ac:dyDescent="0.25">
      <c r="B176" s="451"/>
      <c r="AR176" s="448"/>
    </row>
    <row r="177" spans="2:44" ht="15.95" customHeight="1" x14ac:dyDescent="0.25">
      <c r="B177" s="451"/>
      <c r="C177" s="520" t="s">
        <v>746</v>
      </c>
      <c r="D177" s="520"/>
      <c r="E177" s="520"/>
      <c r="F177" s="520"/>
      <c r="G177" s="520"/>
      <c r="H177" s="520"/>
      <c r="I177" s="520"/>
      <c r="J177" s="520"/>
      <c r="K177" s="520"/>
      <c r="L177" s="520"/>
      <c r="M177" s="520"/>
      <c r="N177" s="520"/>
      <c r="O177" s="520"/>
      <c r="P177" s="520"/>
      <c r="Q177" s="520"/>
      <c r="R177" s="520"/>
      <c r="S177" s="520"/>
      <c r="T177" s="520"/>
      <c r="U177" s="520"/>
      <c r="V177" s="520"/>
      <c r="W177" s="229"/>
      <c r="X177" s="520" t="s">
        <v>747</v>
      </c>
      <c r="Y177" s="520"/>
      <c r="Z177" s="520"/>
      <c r="AA177" s="520"/>
      <c r="AB177" s="520"/>
      <c r="AC177" s="520"/>
      <c r="AD177" s="520"/>
      <c r="AE177" s="520"/>
      <c r="AF177" s="520"/>
      <c r="AG177" s="520"/>
      <c r="AH177" s="520"/>
      <c r="AI177" s="520"/>
      <c r="AJ177" s="520"/>
      <c r="AK177" s="229"/>
      <c r="AL177" s="520" t="s">
        <v>748</v>
      </c>
      <c r="AM177" s="520"/>
      <c r="AN177" s="520"/>
      <c r="AO177" s="520"/>
      <c r="AP177" s="520"/>
      <c r="AQ177" s="520"/>
      <c r="AR177" s="448"/>
    </row>
    <row r="178" spans="2:44" ht="15.95" customHeight="1" x14ac:dyDescent="0.25">
      <c r="B178" s="451"/>
      <c r="C178" s="758"/>
      <c r="D178" s="743"/>
      <c r="E178" s="743"/>
      <c r="F178" s="743"/>
      <c r="G178" s="743"/>
      <c r="H178" s="743"/>
      <c r="I178" s="743"/>
      <c r="J178" s="743"/>
      <c r="K178" s="743"/>
      <c r="L178" s="743"/>
      <c r="M178" s="743"/>
      <c r="N178" s="743"/>
      <c r="O178" s="743"/>
      <c r="P178" s="743"/>
      <c r="Q178" s="743"/>
      <c r="R178" s="743"/>
      <c r="S178" s="743"/>
      <c r="T178" s="743"/>
      <c r="U178" s="743"/>
      <c r="V178" s="744"/>
      <c r="W178" s="59"/>
      <c r="X178" s="758"/>
      <c r="Y178" s="743"/>
      <c r="Z178" s="743"/>
      <c r="AA178" s="743"/>
      <c r="AB178" s="743"/>
      <c r="AC178" s="743"/>
      <c r="AD178" s="743"/>
      <c r="AE178" s="743"/>
      <c r="AF178" s="743"/>
      <c r="AG178" s="743"/>
      <c r="AH178" s="743"/>
      <c r="AI178" s="743"/>
      <c r="AJ178" s="744"/>
      <c r="AK178" s="59"/>
      <c r="AL178" s="828"/>
      <c r="AM178" s="829"/>
      <c r="AN178" s="829"/>
      <c r="AO178" s="829"/>
      <c r="AP178" s="829"/>
      <c r="AQ178" s="830"/>
      <c r="AR178" s="448"/>
    </row>
    <row r="179" spans="2:44" ht="15.95" customHeight="1" x14ac:dyDescent="0.25">
      <c r="B179" s="451"/>
      <c r="AR179" s="448"/>
    </row>
    <row r="180" spans="2:44" ht="15.95" customHeight="1" x14ac:dyDescent="0.25">
      <c r="B180" s="441"/>
      <c r="L180" s="411" t="s">
        <v>1834</v>
      </c>
      <c r="M180" s="411"/>
      <c r="N180" s="411"/>
      <c r="O180" s="411"/>
      <c r="P180" s="411"/>
      <c r="Q180" s="411"/>
      <c r="R180" s="411"/>
      <c r="S180" s="411"/>
      <c r="T180" s="411"/>
      <c r="U180" s="411"/>
      <c r="V180" s="411"/>
      <c r="W180" s="411"/>
      <c r="X180" s="411"/>
      <c r="Y180" s="411"/>
      <c r="Z180" s="411"/>
      <c r="AA180" s="411"/>
      <c r="AB180" s="411"/>
      <c r="AC180" s="411"/>
      <c r="AD180" s="411"/>
      <c r="AE180" s="411"/>
      <c r="AF180" s="411"/>
      <c r="AR180" s="448"/>
    </row>
    <row r="181" spans="2:44" ht="15.95" customHeight="1" x14ac:dyDescent="0.25">
      <c r="B181" s="441"/>
      <c r="W181" s="717"/>
      <c r="X181" s="718"/>
      <c r="Y181" s="718"/>
      <c r="Z181" s="718"/>
      <c r="AA181" s="718"/>
      <c r="AB181" s="718"/>
      <c r="AC181" s="718"/>
      <c r="AD181" s="718"/>
      <c r="AE181" s="718"/>
      <c r="AF181" s="719"/>
      <c r="AQ181" s="322"/>
      <c r="AR181" s="448"/>
    </row>
    <row r="182" spans="2:44" ht="15.95" customHeight="1" x14ac:dyDescent="0.25">
      <c r="B182" s="441"/>
      <c r="L182" s="758"/>
      <c r="M182" s="810"/>
      <c r="N182" s="810"/>
      <c r="O182" s="810"/>
      <c r="P182" s="810"/>
      <c r="Q182" s="810"/>
      <c r="R182" s="810"/>
      <c r="S182" s="810"/>
      <c r="T182" s="810"/>
      <c r="U182" s="811"/>
      <c r="W182" s="720"/>
      <c r="X182" s="721"/>
      <c r="Y182" s="721"/>
      <c r="Z182" s="721"/>
      <c r="AA182" s="721"/>
      <c r="AB182" s="721"/>
      <c r="AC182" s="721"/>
      <c r="AD182" s="721"/>
      <c r="AE182" s="721"/>
      <c r="AF182" s="722"/>
      <c r="AQ182" s="415"/>
      <c r="AR182" s="448"/>
    </row>
    <row r="183" spans="2:44" ht="15.95" customHeight="1" x14ac:dyDescent="0.25">
      <c r="B183" s="441"/>
      <c r="L183" s="490"/>
      <c r="M183" s="490"/>
      <c r="N183" s="490"/>
      <c r="O183" s="490"/>
      <c r="P183" s="490"/>
      <c r="Q183" s="490"/>
      <c r="R183" s="490"/>
      <c r="S183" s="490"/>
      <c r="T183" s="490"/>
      <c r="U183" s="490"/>
      <c r="W183" s="491"/>
      <c r="X183" s="491"/>
      <c r="Y183" s="491"/>
      <c r="Z183" s="491"/>
      <c r="AA183" s="491"/>
      <c r="AB183" s="491"/>
      <c r="AC183" s="491"/>
      <c r="AD183" s="491"/>
      <c r="AE183" s="491"/>
      <c r="AF183" s="491"/>
      <c r="AQ183" s="415"/>
      <c r="AR183" s="448"/>
    </row>
    <row r="184" spans="2:44" ht="15.95" hidden="1" customHeight="1" x14ac:dyDescent="0.25">
      <c r="B184" s="441"/>
      <c r="C184" s="411"/>
      <c r="D184" s="411"/>
      <c r="E184" s="411"/>
      <c r="F184" s="649" t="s">
        <v>2130</v>
      </c>
      <c r="G184" s="649"/>
      <c r="H184" s="649"/>
      <c r="I184" s="649"/>
      <c r="J184" s="649"/>
      <c r="K184" s="649"/>
      <c r="L184" s="649"/>
      <c r="M184" s="649"/>
      <c r="N184" s="649"/>
      <c r="O184" s="649"/>
      <c r="P184" s="649"/>
      <c r="Q184" s="649"/>
      <c r="R184" s="649"/>
      <c r="S184" s="649"/>
      <c r="T184" s="649"/>
      <c r="U184" s="649"/>
      <c r="V184" s="649"/>
      <c r="W184" s="649"/>
      <c r="X184" s="649"/>
      <c r="Y184" s="649"/>
      <c r="Z184" s="649"/>
      <c r="AA184" s="649"/>
      <c r="AB184" s="649"/>
      <c r="AC184" s="649"/>
      <c r="AD184" s="649"/>
      <c r="AE184" s="649"/>
      <c r="AF184" s="649"/>
      <c r="AG184" s="649"/>
      <c r="AH184" s="649"/>
      <c r="AI184" s="649"/>
      <c r="AJ184" s="649"/>
      <c r="AK184" s="649"/>
      <c r="AL184" s="649"/>
      <c r="AM184" s="649"/>
      <c r="AN184" s="649"/>
      <c r="AO184" s="411"/>
      <c r="AP184" s="411"/>
      <c r="AQ184" s="411"/>
      <c r="AR184" s="448"/>
    </row>
    <row r="185" spans="2:44" ht="15.95" hidden="1" customHeight="1" x14ac:dyDescent="0.25">
      <c r="B185" s="441"/>
      <c r="C185" s="411"/>
      <c r="D185" s="411"/>
      <c r="E185" s="411"/>
      <c r="F185" s="411"/>
      <c r="G185" s="411"/>
      <c r="H185" s="411"/>
      <c r="I185" s="411"/>
      <c r="J185" s="411"/>
      <c r="K185" s="411"/>
      <c r="L185" s="411"/>
      <c r="M185" s="411"/>
      <c r="N185" s="411"/>
      <c r="O185" s="411"/>
      <c r="P185" s="411"/>
      <c r="Q185" s="411"/>
      <c r="R185" s="411"/>
      <c r="S185" s="411"/>
      <c r="T185" s="411"/>
      <c r="U185" s="411"/>
      <c r="V185" s="411"/>
      <c r="W185" s="411"/>
      <c r="X185" s="411"/>
      <c r="Y185" s="411"/>
      <c r="Z185" s="411"/>
      <c r="AA185" s="411"/>
      <c r="AB185" s="411"/>
      <c r="AC185" s="411"/>
      <c r="AD185" s="411"/>
      <c r="AE185" s="411"/>
      <c r="AF185" s="411"/>
      <c r="AG185" s="411"/>
      <c r="AH185" s="411"/>
      <c r="AI185" s="411"/>
      <c r="AJ185" s="411"/>
      <c r="AK185" s="411"/>
      <c r="AL185" s="411"/>
      <c r="AM185" s="411"/>
      <c r="AN185" s="411"/>
      <c r="AO185" s="411"/>
      <c r="AP185" s="411"/>
      <c r="AQ185" s="411"/>
      <c r="AR185" s="448"/>
    </row>
    <row r="186" spans="2:44" ht="15.95" hidden="1" customHeight="1" x14ac:dyDescent="0.25">
      <c r="B186" s="441"/>
      <c r="C186" s="632" t="s">
        <v>2131</v>
      </c>
      <c r="D186" s="633"/>
      <c r="E186" s="633"/>
      <c r="F186" s="633"/>
      <c r="G186" s="633"/>
      <c r="H186" s="633"/>
      <c r="I186" s="633"/>
      <c r="J186" s="633"/>
      <c r="K186" s="633"/>
      <c r="L186" s="633"/>
      <c r="M186" s="633"/>
      <c r="N186" s="633"/>
      <c r="O186" s="633"/>
      <c r="P186" s="633"/>
      <c r="Q186" s="633"/>
      <c r="R186" s="633"/>
      <c r="S186" s="633"/>
      <c r="T186" s="633"/>
      <c r="U186" s="633"/>
      <c r="V186" s="633"/>
      <c r="W186" s="633"/>
      <c r="X186" s="633"/>
      <c r="Y186" s="633"/>
      <c r="Z186" s="633"/>
      <c r="AA186" s="633"/>
      <c r="AB186" s="633"/>
      <c r="AC186" s="633"/>
      <c r="AD186" s="633"/>
      <c r="AE186" s="633"/>
      <c r="AF186" s="633"/>
      <c r="AG186" s="633"/>
      <c r="AH186" s="633"/>
      <c r="AI186" s="633"/>
      <c r="AJ186" s="633"/>
      <c r="AK186" s="633"/>
      <c r="AL186" s="633"/>
      <c r="AM186" s="633"/>
      <c r="AN186" s="633"/>
      <c r="AO186" s="633"/>
      <c r="AP186" s="633"/>
      <c r="AQ186" s="634"/>
      <c r="AR186" s="448"/>
    </row>
    <row r="187" spans="2:44" ht="15.95" hidden="1" customHeight="1" x14ac:dyDescent="0.25">
      <c r="B187" s="441"/>
      <c r="C187" s="635"/>
      <c r="D187" s="636"/>
      <c r="E187" s="636"/>
      <c r="F187" s="636"/>
      <c r="G187" s="636"/>
      <c r="H187" s="636"/>
      <c r="I187" s="636"/>
      <c r="J187" s="636"/>
      <c r="K187" s="636"/>
      <c r="L187" s="636"/>
      <c r="M187" s="636"/>
      <c r="N187" s="636"/>
      <c r="O187" s="636"/>
      <c r="P187" s="636"/>
      <c r="Q187" s="636"/>
      <c r="R187" s="636"/>
      <c r="S187" s="636"/>
      <c r="T187" s="636"/>
      <c r="U187" s="636"/>
      <c r="V187" s="636"/>
      <c r="W187" s="636"/>
      <c r="X187" s="636"/>
      <c r="Y187" s="636"/>
      <c r="Z187" s="636"/>
      <c r="AA187" s="636"/>
      <c r="AB187" s="636"/>
      <c r="AC187" s="636"/>
      <c r="AD187" s="636"/>
      <c r="AE187" s="636"/>
      <c r="AF187" s="636"/>
      <c r="AG187" s="636"/>
      <c r="AH187" s="636"/>
      <c r="AI187" s="636"/>
      <c r="AJ187" s="636"/>
      <c r="AK187" s="636"/>
      <c r="AL187" s="636"/>
      <c r="AM187" s="636"/>
      <c r="AN187" s="636"/>
      <c r="AO187" s="636"/>
      <c r="AP187" s="636"/>
      <c r="AQ187" s="637"/>
      <c r="AR187" s="448"/>
    </row>
    <row r="188" spans="2:44" ht="15.95" hidden="1" customHeight="1" x14ac:dyDescent="0.25">
      <c r="B188" s="441"/>
      <c r="C188" s="635"/>
      <c r="D188" s="636"/>
      <c r="E188" s="636"/>
      <c r="F188" s="636"/>
      <c r="G188" s="636"/>
      <c r="H188" s="636"/>
      <c r="I188" s="636"/>
      <c r="J188" s="636"/>
      <c r="K188" s="636"/>
      <c r="L188" s="636"/>
      <c r="M188" s="636"/>
      <c r="N188" s="636"/>
      <c r="O188" s="636"/>
      <c r="P188" s="636"/>
      <c r="Q188" s="636"/>
      <c r="R188" s="636"/>
      <c r="S188" s="636"/>
      <c r="T188" s="636"/>
      <c r="U188" s="636"/>
      <c r="V188" s="636"/>
      <c r="W188" s="636"/>
      <c r="X188" s="636"/>
      <c r="Y188" s="636"/>
      <c r="Z188" s="636"/>
      <c r="AA188" s="636"/>
      <c r="AB188" s="636"/>
      <c r="AC188" s="636"/>
      <c r="AD188" s="636"/>
      <c r="AE188" s="636"/>
      <c r="AF188" s="636"/>
      <c r="AG188" s="636"/>
      <c r="AH188" s="636"/>
      <c r="AI188" s="636"/>
      <c r="AJ188" s="636"/>
      <c r="AK188" s="636"/>
      <c r="AL188" s="636"/>
      <c r="AM188" s="636"/>
      <c r="AN188" s="636"/>
      <c r="AO188" s="636"/>
      <c r="AP188" s="636"/>
      <c r="AQ188" s="637"/>
      <c r="AR188" s="448"/>
    </row>
    <row r="189" spans="2:44" ht="15.95" hidden="1" customHeight="1" x14ac:dyDescent="0.25">
      <c r="B189" s="441"/>
      <c r="C189" s="635"/>
      <c r="D189" s="636"/>
      <c r="E189" s="636"/>
      <c r="F189" s="636"/>
      <c r="G189" s="636"/>
      <c r="H189" s="636"/>
      <c r="I189" s="636"/>
      <c r="J189" s="636"/>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6"/>
      <c r="AJ189" s="636"/>
      <c r="AK189" s="636"/>
      <c r="AL189" s="636"/>
      <c r="AM189" s="636"/>
      <c r="AN189" s="636"/>
      <c r="AO189" s="636"/>
      <c r="AP189" s="636"/>
      <c r="AQ189" s="637"/>
      <c r="AR189" s="448"/>
    </row>
    <row r="190" spans="2:44" ht="15.95" hidden="1" customHeight="1" x14ac:dyDescent="0.25">
      <c r="B190" s="441"/>
      <c r="C190" s="635"/>
      <c r="D190" s="636"/>
      <c r="E190" s="636"/>
      <c r="F190" s="636"/>
      <c r="G190" s="636"/>
      <c r="H190" s="636"/>
      <c r="I190" s="636"/>
      <c r="J190" s="636"/>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6"/>
      <c r="AK190" s="636"/>
      <c r="AL190" s="636"/>
      <c r="AM190" s="636"/>
      <c r="AN190" s="636"/>
      <c r="AO190" s="636"/>
      <c r="AP190" s="636"/>
      <c r="AQ190" s="637"/>
      <c r="AR190" s="448"/>
    </row>
    <row r="191" spans="2:44" ht="15.95" hidden="1" customHeight="1" x14ac:dyDescent="0.25">
      <c r="B191" s="441"/>
      <c r="C191" s="635"/>
      <c r="D191" s="636"/>
      <c r="E191" s="636"/>
      <c r="F191" s="636"/>
      <c r="G191" s="636"/>
      <c r="H191" s="636"/>
      <c r="I191" s="636"/>
      <c r="J191" s="636"/>
      <c r="K191" s="636"/>
      <c r="L191" s="636"/>
      <c r="M191" s="636"/>
      <c r="N191" s="636"/>
      <c r="O191" s="636"/>
      <c r="P191" s="636"/>
      <c r="Q191" s="636"/>
      <c r="R191" s="636"/>
      <c r="S191" s="636"/>
      <c r="T191" s="636"/>
      <c r="U191" s="636"/>
      <c r="V191" s="636"/>
      <c r="W191" s="636"/>
      <c r="X191" s="636"/>
      <c r="Y191" s="636"/>
      <c r="Z191" s="636"/>
      <c r="AA191" s="636"/>
      <c r="AB191" s="636"/>
      <c r="AC191" s="636"/>
      <c r="AD191" s="636"/>
      <c r="AE191" s="636"/>
      <c r="AF191" s="636"/>
      <c r="AG191" s="636"/>
      <c r="AH191" s="636"/>
      <c r="AI191" s="636"/>
      <c r="AJ191" s="636"/>
      <c r="AK191" s="636"/>
      <c r="AL191" s="636"/>
      <c r="AM191" s="636"/>
      <c r="AN191" s="636"/>
      <c r="AO191" s="636"/>
      <c r="AP191" s="636"/>
      <c r="AQ191" s="637"/>
      <c r="AR191" s="448"/>
    </row>
    <row r="192" spans="2:44" ht="15.95" hidden="1" customHeight="1" x14ac:dyDescent="0.25">
      <c r="B192" s="441"/>
      <c r="C192" s="635"/>
      <c r="D192" s="636"/>
      <c r="E192" s="636"/>
      <c r="F192" s="636"/>
      <c r="G192" s="636"/>
      <c r="H192" s="636"/>
      <c r="I192" s="636"/>
      <c r="J192" s="636"/>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6"/>
      <c r="AK192" s="636"/>
      <c r="AL192" s="636"/>
      <c r="AM192" s="636"/>
      <c r="AN192" s="636"/>
      <c r="AO192" s="636"/>
      <c r="AP192" s="636"/>
      <c r="AQ192" s="637"/>
      <c r="AR192" s="448"/>
    </row>
    <row r="193" spans="2:44" ht="15.95" hidden="1" customHeight="1" x14ac:dyDescent="0.25">
      <c r="B193" s="441"/>
      <c r="C193" s="638"/>
      <c r="D193" s="639"/>
      <c r="E193" s="639"/>
      <c r="F193" s="639"/>
      <c r="G193" s="639"/>
      <c r="H193" s="639"/>
      <c r="I193" s="639"/>
      <c r="J193" s="639"/>
      <c r="K193" s="639"/>
      <c r="L193" s="639"/>
      <c r="M193" s="639"/>
      <c r="N193" s="639"/>
      <c r="O193" s="639"/>
      <c r="P193" s="639"/>
      <c r="Q193" s="639"/>
      <c r="R193" s="639"/>
      <c r="S193" s="639"/>
      <c r="T193" s="639"/>
      <c r="U193" s="639"/>
      <c r="V193" s="639"/>
      <c r="W193" s="639"/>
      <c r="X193" s="639"/>
      <c r="Y193" s="639"/>
      <c r="Z193" s="639"/>
      <c r="AA193" s="639"/>
      <c r="AB193" s="639"/>
      <c r="AC193" s="639"/>
      <c r="AD193" s="639"/>
      <c r="AE193" s="639"/>
      <c r="AF193" s="639"/>
      <c r="AG193" s="639"/>
      <c r="AH193" s="639"/>
      <c r="AI193" s="639"/>
      <c r="AJ193" s="639"/>
      <c r="AK193" s="639"/>
      <c r="AL193" s="639"/>
      <c r="AM193" s="639"/>
      <c r="AN193" s="639"/>
      <c r="AO193" s="639"/>
      <c r="AP193" s="639"/>
      <c r="AQ193" s="640"/>
      <c r="AR193" s="448"/>
    </row>
    <row r="194" spans="2:44" ht="15.95" hidden="1" customHeight="1" x14ac:dyDescent="0.25">
      <c r="B194" s="441"/>
      <c r="AR194" s="448"/>
    </row>
    <row r="195" spans="2:44" ht="15.95" hidden="1" customHeight="1" thickBot="1" x14ac:dyDescent="0.3">
      <c r="B195" s="441"/>
      <c r="C195" s="642" t="s">
        <v>2132</v>
      </c>
      <c r="D195" s="642"/>
      <c r="E195" s="642"/>
      <c r="F195" s="642"/>
      <c r="G195" s="642"/>
      <c r="H195" s="642"/>
      <c r="I195" s="642"/>
      <c r="J195" s="642"/>
      <c r="K195" s="642"/>
      <c r="L195" s="642"/>
      <c r="M195" s="642"/>
      <c r="N195" s="642"/>
      <c r="O195" s="642"/>
      <c r="P195" s="642"/>
      <c r="Q195" s="642"/>
      <c r="R195" s="642"/>
      <c r="S195" s="642"/>
      <c r="T195" s="642"/>
      <c r="U195" s="642"/>
      <c r="V195" s="642"/>
      <c r="W195" s="483"/>
      <c r="X195" s="642" t="s">
        <v>2133</v>
      </c>
      <c r="Y195" s="642"/>
      <c r="Z195" s="642"/>
      <c r="AA195" s="642"/>
      <c r="AB195" s="642"/>
      <c r="AC195" s="642"/>
      <c r="AD195" s="642"/>
      <c r="AE195" s="642"/>
      <c r="AF195" s="642"/>
      <c r="AG195" s="642"/>
      <c r="AH195" s="642"/>
      <c r="AI195" s="642"/>
      <c r="AJ195" s="642"/>
      <c r="AK195" s="483"/>
      <c r="AL195" s="642" t="s">
        <v>2134</v>
      </c>
      <c r="AM195" s="642"/>
      <c r="AN195" s="642"/>
      <c r="AO195" s="642"/>
      <c r="AP195" s="642"/>
      <c r="AQ195" s="642"/>
      <c r="AR195" s="448"/>
    </row>
    <row r="196" spans="2:44" ht="15.95" hidden="1" customHeight="1" thickBot="1" x14ac:dyDescent="0.3">
      <c r="B196" s="441"/>
      <c r="C196" s="643"/>
      <c r="D196" s="644"/>
      <c r="E196" s="644"/>
      <c r="F196" s="644"/>
      <c r="G196" s="644"/>
      <c r="H196" s="644"/>
      <c r="I196" s="644"/>
      <c r="J196" s="644"/>
      <c r="K196" s="644"/>
      <c r="L196" s="644"/>
      <c r="M196" s="644"/>
      <c r="N196" s="644"/>
      <c r="O196" s="644"/>
      <c r="P196" s="644"/>
      <c r="Q196" s="644"/>
      <c r="R196" s="644"/>
      <c r="S196" s="644"/>
      <c r="T196" s="644"/>
      <c r="U196" s="644"/>
      <c r="V196" s="645"/>
      <c r="W196" s="411"/>
      <c r="X196" s="643"/>
      <c r="Y196" s="644"/>
      <c r="Z196" s="644"/>
      <c r="AA196" s="644"/>
      <c r="AB196" s="644"/>
      <c r="AC196" s="644"/>
      <c r="AD196" s="644"/>
      <c r="AE196" s="644"/>
      <c r="AF196" s="644"/>
      <c r="AG196" s="644"/>
      <c r="AH196" s="644"/>
      <c r="AI196" s="644"/>
      <c r="AJ196" s="645"/>
      <c r="AK196" s="411"/>
      <c r="AL196" s="646"/>
      <c r="AM196" s="647"/>
      <c r="AN196" s="647"/>
      <c r="AO196" s="647"/>
      <c r="AP196" s="647"/>
      <c r="AQ196" s="648"/>
      <c r="AR196" s="448"/>
    </row>
    <row r="197" spans="2:44" ht="15.95" hidden="1" customHeight="1" x14ac:dyDescent="0.25">
      <c r="B197" s="441"/>
      <c r="AR197" s="448"/>
    </row>
    <row r="198" spans="2:44" ht="15.95" hidden="1" customHeight="1" x14ac:dyDescent="0.25">
      <c r="B198" s="441"/>
      <c r="C198" s="411"/>
      <c r="D198" s="411"/>
      <c r="E198" s="411"/>
      <c r="F198" s="649" t="s">
        <v>2135</v>
      </c>
      <c r="G198" s="649"/>
      <c r="H198" s="649"/>
      <c r="I198" s="649"/>
      <c r="J198" s="649"/>
      <c r="K198" s="649"/>
      <c r="L198" s="649"/>
      <c r="M198" s="649"/>
      <c r="N198" s="649"/>
      <c r="O198" s="649"/>
      <c r="P198" s="649"/>
      <c r="Q198" s="649"/>
      <c r="R198" s="649"/>
      <c r="S198" s="649"/>
      <c r="T198" s="649"/>
      <c r="U198" s="649"/>
      <c r="V198" s="649"/>
      <c r="W198" s="649"/>
      <c r="X198" s="649"/>
      <c r="Y198" s="649"/>
      <c r="Z198" s="649"/>
      <c r="AA198" s="649"/>
      <c r="AB198" s="649"/>
      <c r="AC198" s="649"/>
      <c r="AD198" s="649"/>
      <c r="AE198" s="649"/>
      <c r="AF198" s="649"/>
      <c r="AG198" s="649"/>
      <c r="AH198" s="649"/>
      <c r="AI198" s="649"/>
      <c r="AJ198" s="649"/>
      <c r="AK198" s="649"/>
      <c r="AL198" s="649"/>
      <c r="AM198" s="649"/>
      <c r="AN198" s="649"/>
      <c r="AO198" s="411"/>
      <c r="AP198" s="411"/>
      <c r="AQ198" s="411"/>
      <c r="AR198" s="448"/>
    </row>
    <row r="199" spans="2:44" ht="15.95" hidden="1" customHeight="1" x14ac:dyDescent="0.25">
      <c r="B199" s="441"/>
      <c r="C199" s="411"/>
      <c r="D199" s="411"/>
      <c r="E199" s="411"/>
      <c r="F199" s="411"/>
      <c r="G199" s="411"/>
      <c r="H199" s="411"/>
      <c r="I199" s="411"/>
      <c r="J199" s="411"/>
      <c r="K199" s="411"/>
      <c r="L199" s="411"/>
      <c r="M199" s="411"/>
      <c r="N199" s="411"/>
      <c r="O199" s="411"/>
      <c r="P199" s="411"/>
      <c r="Q199" s="411"/>
      <c r="R199" s="411"/>
      <c r="S199" s="411"/>
      <c r="T199" s="411"/>
      <c r="U199" s="411"/>
      <c r="V199" s="411"/>
      <c r="W199" s="411"/>
      <c r="X199" s="411"/>
      <c r="Y199" s="411"/>
      <c r="Z199" s="411"/>
      <c r="AA199" s="411"/>
      <c r="AB199" s="411"/>
      <c r="AC199" s="411"/>
      <c r="AD199" s="411"/>
      <c r="AE199" s="411"/>
      <c r="AF199" s="411"/>
      <c r="AG199" s="411"/>
      <c r="AH199" s="411"/>
      <c r="AI199" s="411"/>
      <c r="AJ199" s="411"/>
      <c r="AK199" s="411"/>
      <c r="AL199" s="411"/>
      <c r="AM199" s="411"/>
      <c r="AN199" s="411"/>
      <c r="AO199" s="411"/>
      <c r="AP199" s="411"/>
      <c r="AQ199" s="411"/>
      <c r="AR199" s="448"/>
    </row>
    <row r="200" spans="2:44" ht="15.95" hidden="1" customHeight="1" x14ac:dyDescent="0.25">
      <c r="B200" s="441"/>
      <c r="C200" s="632" t="s">
        <v>2136</v>
      </c>
      <c r="D200" s="633"/>
      <c r="E200" s="633"/>
      <c r="F200" s="633"/>
      <c r="G200" s="633"/>
      <c r="H200" s="633"/>
      <c r="I200" s="633"/>
      <c r="J200" s="633"/>
      <c r="K200" s="633"/>
      <c r="L200" s="633"/>
      <c r="M200" s="633"/>
      <c r="N200" s="633"/>
      <c r="O200" s="633"/>
      <c r="P200" s="633"/>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4"/>
      <c r="AR200" s="448"/>
    </row>
    <row r="201" spans="2:44" ht="15.95" hidden="1" customHeight="1" x14ac:dyDescent="0.25">
      <c r="B201" s="441"/>
      <c r="C201" s="635"/>
      <c r="D201" s="636"/>
      <c r="E201" s="636"/>
      <c r="F201" s="636"/>
      <c r="G201" s="636"/>
      <c r="H201" s="636"/>
      <c r="I201" s="636"/>
      <c r="J201" s="636"/>
      <c r="K201" s="636"/>
      <c r="L201" s="636"/>
      <c r="M201" s="636"/>
      <c r="N201" s="636"/>
      <c r="O201" s="636"/>
      <c r="P201" s="636"/>
      <c r="Q201" s="636"/>
      <c r="R201" s="636"/>
      <c r="S201" s="636"/>
      <c r="T201" s="636"/>
      <c r="U201" s="636"/>
      <c r="V201" s="636"/>
      <c r="W201" s="636"/>
      <c r="X201" s="636"/>
      <c r="Y201" s="636"/>
      <c r="Z201" s="636"/>
      <c r="AA201" s="636"/>
      <c r="AB201" s="636"/>
      <c r="AC201" s="636"/>
      <c r="AD201" s="636"/>
      <c r="AE201" s="636"/>
      <c r="AF201" s="636"/>
      <c r="AG201" s="636"/>
      <c r="AH201" s="636"/>
      <c r="AI201" s="636"/>
      <c r="AJ201" s="636"/>
      <c r="AK201" s="636"/>
      <c r="AL201" s="636"/>
      <c r="AM201" s="636"/>
      <c r="AN201" s="636"/>
      <c r="AO201" s="636"/>
      <c r="AP201" s="636"/>
      <c r="AQ201" s="637"/>
      <c r="AR201" s="448"/>
    </row>
    <row r="202" spans="2:44" ht="15.95" hidden="1" customHeight="1" x14ac:dyDescent="0.25">
      <c r="B202" s="441"/>
      <c r="C202" s="635"/>
      <c r="D202" s="636"/>
      <c r="E202" s="636"/>
      <c r="F202" s="636"/>
      <c r="G202" s="636"/>
      <c r="H202" s="636"/>
      <c r="I202" s="636"/>
      <c r="J202" s="636"/>
      <c r="K202" s="636"/>
      <c r="L202" s="636"/>
      <c r="M202" s="636"/>
      <c r="N202" s="636"/>
      <c r="O202" s="636"/>
      <c r="P202" s="636"/>
      <c r="Q202" s="636"/>
      <c r="R202" s="636"/>
      <c r="S202" s="636"/>
      <c r="T202" s="636"/>
      <c r="U202" s="636"/>
      <c r="V202" s="636"/>
      <c r="W202" s="636"/>
      <c r="X202" s="636"/>
      <c r="Y202" s="636"/>
      <c r="Z202" s="636"/>
      <c r="AA202" s="636"/>
      <c r="AB202" s="636"/>
      <c r="AC202" s="636"/>
      <c r="AD202" s="636"/>
      <c r="AE202" s="636"/>
      <c r="AF202" s="636"/>
      <c r="AG202" s="636"/>
      <c r="AH202" s="636"/>
      <c r="AI202" s="636"/>
      <c r="AJ202" s="636"/>
      <c r="AK202" s="636"/>
      <c r="AL202" s="636"/>
      <c r="AM202" s="636"/>
      <c r="AN202" s="636"/>
      <c r="AO202" s="636"/>
      <c r="AP202" s="636"/>
      <c r="AQ202" s="637"/>
      <c r="AR202" s="448"/>
    </row>
    <row r="203" spans="2:44" ht="15.95" hidden="1" customHeight="1" x14ac:dyDescent="0.25">
      <c r="B203" s="441"/>
      <c r="C203" s="638"/>
      <c r="D203" s="639"/>
      <c r="E203" s="639"/>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40"/>
      <c r="AR203" s="448"/>
    </row>
    <row r="204" spans="2:44" ht="15.95" hidden="1" customHeight="1" x14ac:dyDescent="0.25">
      <c r="B204" s="441"/>
      <c r="C204" s="641" t="s">
        <v>2137</v>
      </c>
      <c r="D204" s="641"/>
      <c r="E204" s="641"/>
      <c r="F204" s="641"/>
      <c r="G204" s="641"/>
      <c r="H204" s="641"/>
      <c r="I204" s="641"/>
      <c r="J204" s="641"/>
      <c r="K204" s="641"/>
      <c r="L204" s="641"/>
      <c r="M204" s="641"/>
      <c r="N204" s="641"/>
      <c r="O204" s="641"/>
      <c r="P204" s="641"/>
      <c r="Q204" s="641"/>
      <c r="R204" s="641"/>
      <c r="S204" s="641"/>
      <c r="T204" s="641"/>
      <c r="U204" s="641"/>
      <c r="V204" s="641"/>
      <c r="W204" s="641"/>
      <c r="X204" s="641"/>
      <c r="Y204" s="641"/>
      <c r="Z204" s="641"/>
      <c r="AA204" s="641"/>
      <c r="AB204" s="641"/>
      <c r="AC204" s="641"/>
      <c r="AD204" s="641"/>
      <c r="AE204" s="641"/>
      <c r="AF204" s="641"/>
      <c r="AG204" s="641"/>
      <c r="AH204" s="641"/>
      <c r="AI204" s="641"/>
      <c r="AJ204" s="641"/>
      <c r="AK204" s="641"/>
      <c r="AL204" s="641"/>
      <c r="AM204" s="641"/>
      <c r="AN204" s="641"/>
      <c r="AO204" s="641"/>
      <c r="AP204" s="641"/>
      <c r="AQ204" s="641"/>
      <c r="AR204" s="448"/>
    </row>
    <row r="205" spans="2:44" ht="15.95" hidden="1" customHeight="1" x14ac:dyDescent="0.25">
      <c r="B205" s="441"/>
      <c r="AR205" s="448"/>
    </row>
    <row r="206" spans="2:44" ht="15.95" hidden="1" customHeight="1" thickBot="1" x14ac:dyDescent="0.3">
      <c r="B206" s="441"/>
      <c r="C206" s="642" t="s">
        <v>2138</v>
      </c>
      <c r="D206" s="642"/>
      <c r="E206" s="642"/>
      <c r="F206" s="642"/>
      <c r="G206" s="642"/>
      <c r="H206" s="642"/>
      <c r="I206" s="642"/>
      <c r="J206" s="642"/>
      <c r="K206" s="642"/>
      <c r="L206" s="642"/>
      <c r="M206" s="642"/>
      <c r="N206" s="642"/>
      <c r="O206" s="642"/>
      <c r="P206" s="642"/>
      <c r="Q206" s="642"/>
      <c r="R206" s="642"/>
      <c r="S206" s="642"/>
      <c r="T206" s="642"/>
      <c r="U206" s="642"/>
      <c r="V206" s="642"/>
      <c r="W206" s="483"/>
      <c r="X206" s="642" t="s">
        <v>2133</v>
      </c>
      <c r="Y206" s="642"/>
      <c r="Z206" s="642"/>
      <c r="AA206" s="642"/>
      <c r="AB206" s="642"/>
      <c r="AC206" s="642"/>
      <c r="AD206" s="642"/>
      <c r="AE206" s="642"/>
      <c r="AF206" s="642"/>
      <c r="AG206" s="642"/>
      <c r="AH206" s="642"/>
      <c r="AI206" s="642"/>
      <c r="AJ206" s="642"/>
      <c r="AK206" s="483"/>
      <c r="AL206" s="642" t="s">
        <v>2134</v>
      </c>
      <c r="AM206" s="642"/>
      <c r="AN206" s="642"/>
      <c r="AO206" s="642"/>
      <c r="AP206" s="642"/>
      <c r="AQ206" s="642"/>
      <c r="AR206" s="448"/>
    </row>
    <row r="207" spans="2:44" ht="15.95" hidden="1" customHeight="1" thickBot="1" x14ac:dyDescent="0.3">
      <c r="B207" s="441"/>
      <c r="C207" s="643"/>
      <c r="D207" s="644"/>
      <c r="E207" s="644"/>
      <c r="F207" s="644"/>
      <c r="G207" s="644"/>
      <c r="H207" s="644"/>
      <c r="I207" s="644"/>
      <c r="J207" s="644"/>
      <c r="K207" s="644"/>
      <c r="L207" s="644"/>
      <c r="M207" s="644"/>
      <c r="N207" s="644"/>
      <c r="O207" s="644"/>
      <c r="P207" s="644"/>
      <c r="Q207" s="644"/>
      <c r="R207" s="644"/>
      <c r="S207" s="644"/>
      <c r="T207" s="644"/>
      <c r="U207" s="644"/>
      <c r="V207" s="645"/>
      <c r="W207" s="411"/>
      <c r="X207" s="643"/>
      <c r="Y207" s="644"/>
      <c r="Z207" s="644"/>
      <c r="AA207" s="644"/>
      <c r="AB207" s="644"/>
      <c r="AC207" s="644"/>
      <c r="AD207" s="644"/>
      <c r="AE207" s="644"/>
      <c r="AF207" s="644"/>
      <c r="AG207" s="644"/>
      <c r="AH207" s="644"/>
      <c r="AI207" s="644"/>
      <c r="AJ207" s="645"/>
      <c r="AK207" s="411"/>
      <c r="AL207" s="646"/>
      <c r="AM207" s="647"/>
      <c r="AN207" s="647"/>
      <c r="AO207" s="647"/>
      <c r="AP207" s="647"/>
      <c r="AQ207" s="648"/>
      <c r="AR207" s="448"/>
    </row>
    <row r="208" spans="2:44" ht="15.95" hidden="1" customHeight="1" x14ac:dyDescent="0.25">
      <c r="B208" s="441"/>
      <c r="F208" s="492"/>
      <c r="G208" s="492"/>
      <c r="H208" s="492"/>
      <c r="I208" s="492"/>
      <c r="J208" s="492"/>
      <c r="K208" s="492"/>
      <c r="L208" s="492"/>
      <c r="M208" s="492"/>
      <c r="N208" s="492"/>
      <c r="O208" s="492"/>
      <c r="P208" s="492"/>
      <c r="Q208" s="492"/>
      <c r="R208" s="492"/>
      <c r="S208" s="492"/>
      <c r="T208" s="492"/>
      <c r="U208" s="492"/>
      <c r="V208" s="492"/>
      <c r="W208" s="492"/>
      <c r="X208" s="492"/>
      <c r="Y208" s="492"/>
      <c r="Z208" s="492"/>
      <c r="AA208" s="492"/>
      <c r="AB208" s="492"/>
      <c r="AC208" s="492"/>
      <c r="AD208" s="492"/>
      <c r="AE208" s="492"/>
      <c r="AF208" s="492"/>
      <c r="AG208" s="492"/>
      <c r="AH208" s="492"/>
      <c r="AI208" s="492"/>
      <c r="AJ208" s="492"/>
      <c r="AK208" s="492"/>
      <c r="AL208" s="492"/>
      <c r="AM208" s="492"/>
      <c r="AN208" s="492"/>
      <c r="AQ208" s="415"/>
      <c r="AR208" s="448"/>
    </row>
    <row r="209" spans="2:44" ht="15.95" customHeight="1" x14ac:dyDescent="0.25">
      <c r="B209" s="441"/>
      <c r="E209" s="825" t="s">
        <v>1807</v>
      </c>
      <c r="F209" s="826"/>
      <c r="G209" s="826"/>
      <c r="H209" s="826"/>
      <c r="I209" s="826"/>
      <c r="J209" s="826"/>
      <c r="K209" s="826"/>
      <c r="L209" s="826"/>
      <c r="M209" s="826"/>
      <c r="N209" s="826"/>
      <c r="O209" s="826"/>
      <c r="P209" s="826"/>
      <c r="Q209" s="826"/>
      <c r="R209" s="826"/>
      <c r="S209" s="826"/>
      <c r="T209" s="826"/>
      <c r="U209" s="826"/>
      <c r="V209" s="826"/>
      <c r="W209" s="826"/>
      <c r="X209" s="826"/>
      <c r="Y209" s="826"/>
      <c r="Z209" s="826"/>
      <c r="AA209" s="826"/>
      <c r="AB209" s="826"/>
      <c r="AC209" s="826"/>
      <c r="AD209" s="826"/>
      <c r="AE209" s="826"/>
      <c r="AF209" s="826"/>
      <c r="AG209" s="826"/>
      <c r="AH209" s="826"/>
      <c r="AI209" s="826"/>
      <c r="AJ209" s="826"/>
      <c r="AK209" s="826"/>
      <c r="AL209" s="826"/>
      <c r="AM209" s="826"/>
      <c r="AN209" s="826"/>
      <c r="AO209" s="827"/>
      <c r="AQ209" s="415"/>
      <c r="AR209" s="448"/>
    </row>
    <row r="210" spans="2:44" ht="15.95" customHeight="1" x14ac:dyDescent="0.25">
      <c r="B210" s="441"/>
      <c r="E210" s="408"/>
      <c r="AO210" s="409"/>
      <c r="AQ210" s="415"/>
      <c r="AR210" s="448"/>
    </row>
    <row r="211" spans="2:44" ht="15.95" customHeight="1" x14ac:dyDescent="0.25">
      <c r="B211" s="441"/>
      <c r="C211" s="322"/>
      <c r="E211" s="408"/>
      <c r="H211" s="410" t="s">
        <v>1802</v>
      </c>
      <c r="I211" s="411" t="s">
        <v>363</v>
      </c>
      <c r="Y211" s="322"/>
      <c r="Z211" s="410" t="s">
        <v>1804</v>
      </c>
      <c r="AA211" s="631" t="s">
        <v>2054</v>
      </c>
      <c r="AB211" s="631"/>
      <c r="AC211" s="631"/>
      <c r="AD211" s="631"/>
      <c r="AE211" s="631"/>
      <c r="AF211" s="631"/>
      <c r="AG211" s="631"/>
      <c r="AH211" s="631"/>
      <c r="AI211" s="631"/>
      <c r="AJ211" s="631"/>
      <c r="AK211" s="631"/>
      <c r="AL211" s="631"/>
      <c r="AM211" s="322"/>
      <c r="AN211" s="322"/>
      <c r="AO211" s="412"/>
      <c r="AQ211" s="415"/>
      <c r="AR211" s="448"/>
    </row>
    <row r="212" spans="2:44" ht="15.95" customHeight="1" x14ac:dyDescent="0.25">
      <c r="B212" s="441"/>
      <c r="C212" s="322"/>
      <c r="E212" s="408"/>
      <c r="H212" s="413"/>
      <c r="Z212" s="413"/>
      <c r="AA212" s="631"/>
      <c r="AB212" s="631"/>
      <c r="AC212" s="631"/>
      <c r="AD212" s="631"/>
      <c r="AE212" s="631"/>
      <c r="AF212" s="631"/>
      <c r="AG212" s="631"/>
      <c r="AH212" s="631"/>
      <c r="AI212" s="631"/>
      <c r="AJ212" s="631"/>
      <c r="AK212" s="631"/>
      <c r="AL212" s="631"/>
      <c r="AO212" s="409"/>
      <c r="AQ212" s="415"/>
      <c r="AR212" s="448"/>
    </row>
    <row r="213" spans="2:44" ht="15.95" customHeight="1" x14ac:dyDescent="0.25">
      <c r="B213" s="441"/>
      <c r="C213" s="322"/>
      <c r="E213" s="408"/>
      <c r="H213" s="410" t="s">
        <v>1803</v>
      </c>
      <c r="I213" s="411" t="s">
        <v>364</v>
      </c>
      <c r="K213" s="411"/>
      <c r="L213" s="411"/>
      <c r="M213" s="411"/>
      <c r="N213" s="411"/>
      <c r="O213" s="411"/>
      <c r="P213" s="411"/>
      <c r="Q213" s="411"/>
      <c r="R213" s="411"/>
      <c r="S213" s="322"/>
      <c r="T213" s="322"/>
      <c r="U213" s="322"/>
      <c r="V213" s="322"/>
      <c r="W213" s="322"/>
      <c r="X213" s="322"/>
      <c r="Y213" s="322"/>
      <c r="Z213" s="414"/>
      <c r="AA213" s="631"/>
      <c r="AB213" s="631"/>
      <c r="AC213" s="631"/>
      <c r="AD213" s="631"/>
      <c r="AE213" s="631"/>
      <c r="AF213" s="631"/>
      <c r="AG213" s="631"/>
      <c r="AH213" s="631"/>
      <c r="AI213" s="631"/>
      <c r="AJ213" s="631"/>
      <c r="AK213" s="631"/>
      <c r="AL213" s="631"/>
      <c r="AM213" s="322"/>
      <c r="AN213" s="322"/>
      <c r="AO213" s="412"/>
      <c r="AQ213" s="415"/>
      <c r="AR213" s="448"/>
    </row>
    <row r="214" spans="2:44" ht="15.95" customHeight="1" x14ac:dyDescent="0.25">
      <c r="B214" s="441"/>
      <c r="C214" s="322"/>
      <c r="E214" s="408"/>
      <c r="H214" s="413"/>
      <c r="J214" s="411" t="s">
        <v>977</v>
      </c>
      <c r="K214" s="411"/>
      <c r="L214" s="411"/>
      <c r="M214" s="411"/>
      <c r="N214" s="411"/>
      <c r="O214" s="411"/>
      <c r="P214" s="411"/>
      <c r="Q214" s="411"/>
      <c r="R214" s="411"/>
      <c r="Z214" s="413"/>
      <c r="AA214" s="631"/>
      <c r="AB214" s="631"/>
      <c r="AC214" s="631"/>
      <c r="AD214" s="631"/>
      <c r="AE214" s="631"/>
      <c r="AF214" s="631"/>
      <c r="AG214" s="631"/>
      <c r="AH214" s="631"/>
      <c r="AI214" s="631"/>
      <c r="AJ214" s="631"/>
      <c r="AK214" s="631"/>
      <c r="AL214" s="631"/>
      <c r="AM214" s="415"/>
      <c r="AN214" s="415"/>
      <c r="AO214" s="409"/>
      <c r="AQ214" s="415"/>
      <c r="AR214" s="448"/>
    </row>
    <row r="215" spans="2:44" ht="15.95" customHeight="1" x14ac:dyDescent="0.25">
      <c r="B215" s="441"/>
      <c r="C215" s="322"/>
      <c r="E215" s="408"/>
      <c r="H215" s="413"/>
      <c r="J215" s="411" t="s">
        <v>1172</v>
      </c>
      <c r="K215" s="411"/>
      <c r="L215" s="411"/>
      <c r="M215" s="411"/>
      <c r="N215" s="411"/>
      <c r="O215" s="411"/>
      <c r="P215" s="411"/>
      <c r="Q215" s="411"/>
      <c r="R215" s="411"/>
      <c r="V215" s="322"/>
      <c r="W215" s="322"/>
      <c r="X215" s="322"/>
      <c r="Y215" s="322"/>
      <c r="Z215" s="414"/>
      <c r="AA215" s="322"/>
      <c r="AB215" s="322"/>
      <c r="AC215" s="322"/>
      <c r="AD215" s="322"/>
      <c r="AE215" s="322"/>
      <c r="AF215" s="322"/>
      <c r="AG215" s="322"/>
      <c r="AH215" s="322"/>
      <c r="AI215" s="322"/>
      <c r="AJ215" s="322"/>
      <c r="AK215" s="322"/>
      <c r="AL215" s="322"/>
      <c r="AO215" s="409"/>
      <c r="AQ215" s="415"/>
      <c r="AR215" s="448"/>
    </row>
    <row r="216" spans="2:44" ht="15.95" customHeight="1" x14ac:dyDescent="0.25">
      <c r="B216" s="441"/>
      <c r="C216" s="322"/>
      <c r="E216" s="408"/>
      <c r="H216" s="413"/>
      <c r="J216" s="411" t="s">
        <v>759</v>
      </c>
      <c r="V216" s="229"/>
      <c r="W216" s="229"/>
      <c r="X216" s="229"/>
      <c r="Y216" s="229"/>
      <c r="Z216" s="410" t="s">
        <v>1805</v>
      </c>
      <c r="AA216" s="631" t="s">
        <v>1532</v>
      </c>
      <c r="AB216" s="631"/>
      <c r="AC216" s="631"/>
      <c r="AD216" s="631"/>
      <c r="AE216" s="631"/>
      <c r="AF216" s="631"/>
      <c r="AG216" s="631"/>
      <c r="AH216" s="631"/>
      <c r="AI216" s="631"/>
      <c r="AJ216" s="631"/>
      <c r="AK216" s="631"/>
      <c r="AL216" s="631"/>
      <c r="AM216" s="415"/>
      <c r="AN216" s="415"/>
      <c r="AO216" s="409"/>
      <c r="AQ216" s="415"/>
      <c r="AR216" s="448"/>
    </row>
    <row r="217" spans="2:44" ht="15.95" customHeight="1" x14ac:dyDescent="0.25">
      <c r="B217" s="441"/>
      <c r="C217" s="322"/>
      <c r="E217" s="408"/>
      <c r="H217" s="413"/>
      <c r="J217" s="411" t="s">
        <v>760</v>
      </c>
      <c r="Z217" s="413"/>
      <c r="AA217" s="631"/>
      <c r="AB217" s="631"/>
      <c r="AC217" s="631"/>
      <c r="AD217" s="631"/>
      <c r="AE217" s="631"/>
      <c r="AF217" s="631"/>
      <c r="AG217" s="631"/>
      <c r="AH217" s="631"/>
      <c r="AI217" s="631"/>
      <c r="AJ217" s="631"/>
      <c r="AK217" s="631"/>
      <c r="AL217" s="631"/>
      <c r="AM217" s="322"/>
      <c r="AN217" s="322"/>
      <c r="AO217" s="409"/>
      <c r="AQ217" s="415"/>
      <c r="AR217" s="448"/>
    </row>
    <row r="218" spans="2:44" ht="15.95" customHeight="1" x14ac:dyDescent="0.25">
      <c r="B218" s="441"/>
      <c r="C218" s="322"/>
      <c r="E218" s="408"/>
      <c r="H218" s="413"/>
      <c r="J218" s="411" t="s">
        <v>1533</v>
      </c>
      <c r="X218" s="229"/>
      <c r="Y218" s="229"/>
      <c r="Z218" s="416"/>
      <c r="AA218" s="631"/>
      <c r="AB218" s="631"/>
      <c r="AC218" s="631"/>
      <c r="AD218" s="631"/>
      <c r="AE218" s="631"/>
      <c r="AF218" s="631"/>
      <c r="AG218" s="631"/>
      <c r="AH218" s="631"/>
      <c r="AI218" s="631"/>
      <c r="AJ218" s="631"/>
      <c r="AK218" s="631"/>
      <c r="AL218" s="631"/>
      <c r="AM218" s="322"/>
      <c r="AN218" s="322"/>
      <c r="AO218" s="412"/>
      <c r="AQ218" s="415"/>
      <c r="AR218" s="448"/>
    </row>
    <row r="219" spans="2:44" ht="15.95" customHeight="1" x14ac:dyDescent="0.25">
      <c r="B219" s="441"/>
      <c r="C219" s="322"/>
      <c r="E219" s="408"/>
      <c r="H219" s="413"/>
      <c r="K219" s="322"/>
      <c r="L219" s="322"/>
      <c r="M219" s="322"/>
      <c r="N219" s="322"/>
      <c r="O219" s="322"/>
      <c r="V219" s="229"/>
      <c r="W219" s="229"/>
      <c r="X219" s="229"/>
      <c r="Y219" s="229"/>
      <c r="Z219" s="416"/>
      <c r="AA219" s="631"/>
      <c r="AB219" s="631"/>
      <c r="AC219" s="631"/>
      <c r="AD219" s="631"/>
      <c r="AE219" s="631"/>
      <c r="AF219" s="631"/>
      <c r="AG219" s="631"/>
      <c r="AH219" s="631"/>
      <c r="AI219" s="631"/>
      <c r="AJ219" s="631"/>
      <c r="AK219" s="631"/>
      <c r="AL219" s="631"/>
      <c r="AM219" s="322"/>
      <c r="AN219" s="322"/>
      <c r="AO219" s="409"/>
      <c r="AQ219" s="415"/>
      <c r="AR219" s="448"/>
    </row>
    <row r="220" spans="2:44" ht="15.95" customHeight="1" x14ac:dyDescent="0.25">
      <c r="B220" s="441"/>
      <c r="C220" s="322"/>
      <c r="E220" s="408"/>
      <c r="H220" s="413"/>
      <c r="I220" s="322"/>
      <c r="J220" s="322"/>
      <c r="K220" s="322"/>
      <c r="L220" s="322"/>
      <c r="M220" s="322"/>
      <c r="N220" s="322"/>
      <c r="O220" s="322"/>
      <c r="P220" s="322"/>
      <c r="Q220" s="322"/>
      <c r="R220" s="322"/>
      <c r="S220" s="322"/>
      <c r="T220" s="322"/>
      <c r="U220" s="322"/>
      <c r="V220" s="322"/>
      <c r="W220" s="322"/>
      <c r="X220" s="322"/>
      <c r="Y220" s="322"/>
      <c r="Z220" s="414"/>
      <c r="AA220" s="322"/>
      <c r="AB220" s="322"/>
      <c r="AC220" s="322"/>
      <c r="AD220" s="322"/>
      <c r="AE220" s="322"/>
      <c r="AF220" s="322"/>
      <c r="AG220" s="322"/>
      <c r="AH220" s="322"/>
      <c r="AI220" s="322"/>
      <c r="AJ220" s="322"/>
      <c r="AK220" s="322"/>
      <c r="AL220" s="322"/>
      <c r="AM220" s="415"/>
      <c r="AN220" s="415"/>
      <c r="AO220" s="409"/>
      <c r="AQ220" s="415"/>
      <c r="AR220" s="448"/>
    </row>
    <row r="221" spans="2:44" ht="15.95" customHeight="1" x14ac:dyDescent="0.25">
      <c r="B221" s="441"/>
      <c r="C221" s="322"/>
      <c r="D221" s="322"/>
      <c r="E221" s="408"/>
      <c r="H221" s="410" t="s">
        <v>1801</v>
      </c>
      <c r="I221" s="631" t="s">
        <v>1135</v>
      </c>
      <c r="J221" s="631"/>
      <c r="K221" s="631"/>
      <c r="L221" s="631"/>
      <c r="M221" s="631"/>
      <c r="N221" s="631"/>
      <c r="O221" s="631"/>
      <c r="P221" s="631"/>
      <c r="Q221" s="631"/>
      <c r="R221" s="631"/>
      <c r="S221" s="631"/>
      <c r="T221" s="631"/>
      <c r="U221" s="631"/>
      <c r="V221" s="229"/>
      <c r="W221" s="229"/>
      <c r="X221" s="229"/>
      <c r="Y221" s="229"/>
      <c r="Z221" s="410" t="s">
        <v>1806</v>
      </c>
      <c r="AA221" s="631" t="s">
        <v>2051</v>
      </c>
      <c r="AB221" s="631"/>
      <c r="AC221" s="631"/>
      <c r="AD221" s="631"/>
      <c r="AE221" s="631"/>
      <c r="AF221" s="631"/>
      <c r="AG221" s="631"/>
      <c r="AH221" s="631"/>
      <c r="AI221" s="631"/>
      <c r="AJ221" s="631"/>
      <c r="AK221" s="631"/>
      <c r="AL221" s="631"/>
      <c r="AM221" s="415"/>
      <c r="AN221" s="415"/>
      <c r="AO221" s="409"/>
      <c r="AP221" s="415"/>
      <c r="AQ221" s="415"/>
      <c r="AR221" s="448"/>
    </row>
    <row r="222" spans="2:44" ht="15.95" customHeight="1" x14ac:dyDescent="0.25">
      <c r="B222" s="441"/>
      <c r="C222" s="322"/>
      <c r="D222" s="322"/>
      <c r="E222" s="417"/>
      <c r="F222" s="322"/>
      <c r="G222" s="322"/>
      <c r="H222" s="322"/>
      <c r="I222" s="631"/>
      <c r="J222" s="631"/>
      <c r="K222" s="631"/>
      <c r="L222" s="631"/>
      <c r="M222" s="631"/>
      <c r="N222" s="631"/>
      <c r="O222" s="631"/>
      <c r="P222" s="631"/>
      <c r="Q222" s="631"/>
      <c r="R222" s="631"/>
      <c r="S222" s="631"/>
      <c r="T222" s="631"/>
      <c r="U222" s="631"/>
      <c r="X222" s="229"/>
      <c r="Y222" s="229"/>
      <c r="Z222" s="229"/>
      <c r="AA222" s="631"/>
      <c r="AB222" s="631"/>
      <c r="AC222" s="631"/>
      <c r="AD222" s="631"/>
      <c r="AE222" s="631"/>
      <c r="AF222" s="631"/>
      <c r="AG222" s="631"/>
      <c r="AH222" s="631"/>
      <c r="AI222" s="631"/>
      <c r="AJ222" s="631"/>
      <c r="AK222" s="631"/>
      <c r="AL222" s="631"/>
      <c r="AM222" s="415"/>
      <c r="AN222" s="415"/>
      <c r="AO222" s="418"/>
      <c r="AP222" s="415"/>
      <c r="AQ222" s="415"/>
      <c r="AR222" s="448"/>
    </row>
    <row r="223" spans="2:44" ht="15.95" customHeight="1" x14ac:dyDescent="0.25">
      <c r="B223" s="441"/>
      <c r="E223" s="417"/>
      <c r="F223" s="322"/>
      <c r="G223" s="322"/>
      <c r="H223" s="322"/>
      <c r="I223" s="631"/>
      <c r="J223" s="631"/>
      <c r="K223" s="631"/>
      <c r="L223" s="631"/>
      <c r="M223" s="631"/>
      <c r="N223" s="631"/>
      <c r="O223" s="631"/>
      <c r="P223" s="631"/>
      <c r="Q223" s="631"/>
      <c r="R223" s="631"/>
      <c r="S223" s="631"/>
      <c r="T223" s="631"/>
      <c r="U223" s="631"/>
      <c r="V223" s="229"/>
      <c r="W223" s="229"/>
      <c r="X223" s="229"/>
      <c r="Y223" s="229"/>
      <c r="Z223" s="229"/>
      <c r="AA223" s="631"/>
      <c r="AB223" s="631"/>
      <c r="AC223" s="631"/>
      <c r="AD223" s="631"/>
      <c r="AE223" s="631"/>
      <c r="AF223" s="631"/>
      <c r="AG223" s="631"/>
      <c r="AH223" s="631"/>
      <c r="AI223" s="631"/>
      <c r="AJ223" s="631"/>
      <c r="AK223" s="631"/>
      <c r="AL223" s="631"/>
      <c r="AM223" s="415"/>
      <c r="AN223" s="415"/>
      <c r="AO223" s="418"/>
      <c r="AP223" s="415"/>
      <c r="AQ223" s="415"/>
      <c r="AR223" s="448"/>
    </row>
    <row r="224" spans="2:44" ht="15.95" customHeight="1" x14ac:dyDescent="0.25">
      <c r="B224" s="441"/>
      <c r="E224" s="419"/>
      <c r="F224" s="420"/>
      <c r="G224" s="420"/>
      <c r="H224" s="420"/>
      <c r="I224" s="420"/>
      <c r="J224" s="420"/>
      <c r="K224" s="420"/>
      <c r="L224" s="420"/>
      <c r="M224" s="420"/>
      <c r="N224" s="420"/>
      <c r="O224" s="420"/>
      <c r="P224" s="420"/>
      <c r="Q224" s="421"/>
      <c r="R224" s="421"/>
      <c r="S224" s="421"/>
      <c r="T224" s="421"/>
      <c r="U224" s="421"/>
      <c r="V224" s="421"/>
      <c r="W224" s="405"/>
      <c r="X224" s="422"/>
      <c r="Y224" s="421"/>
      <c r="Z224" s="421"/>
      <c r="AA224" s="421"/>
      <c r="AB224" s="421"/>
      <c r="AC224" s="421"/>
      <c r="AD224" s="421"/>
      <c r="AE224" s="421"/>
      <c r="AF224" s="421"/>
      <c r="AG224" s="421"/>
      <c r="AH224" s="421"/>
      <c r="AI224" s="421"/>
      <c r="AJ224" s="421"/>
      <c r="AK224" s="405"/>
      <c r="AL224" s="423"/>
      <c r="AM224" s="423"/>
      <c r="AN224" s="423"/>
      <c r="AO224" s="424"/>
      <c r="AR224" s="448"/>
    </row>
    <row r="225" spans="2:44" ht="15.95" customHeight="1" x14ac:dyDescent="0.25">
      <c r="B225" s="441"/>
      <c r="C225" s="322"/>
      <c r="D225" s="322"/>
      <c r="AP225" s="329"/>
      <c r="AQ225" s="329"/>
      <c r="AR225" s="448"/>
    </row>
    <row r="226" spans="2:44" ht="15.95" customHeight="1" x14ac:dyDescent="0.25">
      <c r="B226" s="461"/>
      <c r="C226" s="332"/>
      <c r="D226" s="335"/>
      <c r="E226" s="332"/>
      <c r="F226" s="335"/>
      <c r="G226" s="335"/>
      <c r="H226" s="335"/>
      <c r="I226" s="335"/>
      <c r="J226" s="335"/>
      <c r="K226" s="335"/>
      <c r="L226" s="335"/>
      <c r="M226" s="335"/>
      <c r="N226" s="335"/>
      <c r="O226" s="335"/>
      <c r="P226" s="335"/>
      <c r="Q226" s="335"/>
      <c r="R226" s="335"/>
      <c r="S226" s="335"/>
      <c r="T226" s="335"/>
      <c r="U226" s="335"/>
      <c r="V226" s="335"/>
      <c r="W226" s="334"/>
      <c r="X226" s="336"/>
      <c r="Y226" s="335"/>
      <c r="Z226" s="335"/>
      <c r="AA226" s="335"/>
      <c r="AB226" s="335"/>
      <c r="AC226" s="335"/>
      <c r="AD226" s="335"/>
      <c r="AE226" s="335"/>
      <c r="AF226" s="335"/>
      <c r="AG226" s="335"/>
      <c r="AH226" s="335"/>
      <c r="AI226" s="335"/>
      <c r="AJ226" s="335"/>
      <c r="AK226" s="334"/>
      <c r="AL226" s="337"/>
      <c r="AM226" s="337"/>
      <c r="AN226" s="337"/>
      <c r="AO226" s="337"/>
      <c r="AP226" s="337"/>
      <c r="AQ226" s="337"/>
      <c r="AR226" s="462"/>
    </row>
    <row r="227" spans="2:44" ht="15.95" customHeight="1" x14ac:dyDescent="0.35">
      <c r="B227" s="461"/>
      <c r="C227" s="332"/>
      <c r="D227" s="335"/>
      <c r="E227" s="332"/>
      <c r="F227" s="335"/>
      <c r="G227" s="335"/>
      <c r="H227" s="335"/>
      <c r="I227" s="335"/>
      <c r="J227" s="335"/>
      <c r="K227" s="335"/>
      <c r="L227" s="335"/>
      <c r="M227" s="335"/>
      <c r="N227" s="335"/>
      <c r="O227" s="335"/>
      <c r="P227" s="335"/>
      <c r="Q227" s="335"/>
      <c r="R227" s="335"/>
      <c r="S227" s="335"/>
      <c r="T227" s="332"/>
      <c r="U227" s="332"/>
      <c r="V227" s="332"/>
      <c r="W227" s="332"/>
      <c r="X227" s="332"/>
      <c r="Y227" s="335"/>
      <c r="Z227" s="335"/>
      <c r="AA227" s="335"/>
      <c r="AB227" s="335"/>
      <c r="AC227" s="335"/>
      <c r="AD227" s="335"/>
      <c r="AE227" s="335"/>
      <c r="AF227" s="335"/>
      <c r="AG227" s="335"/>
      <c r="AH227" s="335"/>
      <c r="AI227" s="335"/>
      <c r="AJ227" s="335"/>
      <c r="AK227" s="334"/>
      <c r="AL227" s="337"/>
      <c r="AM227" s="337"/>
      <c r="AN227" s="337"/>
      <c r="AO227" s="337"/>
      <c r="AP227" s="337"/>
      <c r="AQ227" s="337"/>
      <c r="AR227" s="463" t="s">
        <v>1761</v>
      </c>
    </row>
    <row r="228" spans="2:44" ht="15.95" customHeight="1" x14ac:dyDescent="0.35">
      <c r="B228" s="461"/>
      <c r="C228" s="339"/>
      <c r="D228" s="339"/>
      <c r="E228" s="339"/>
      <c r="F228" s="339"/>
      <c r="G228" s="339"/>
      <c r="H228" s="339"/>
      <c r="I228" s="339"/>
      <c r="J228" s="339"/>
      <c r="K228" s="339"/>
      <c r="L228" s="339"/>
      <c r="M228" s="339"/>
      <c r="N228" s="339"/>
      <c r="O228" s="339"/>
      <c r="P228" s="339"/>
      <c r="Q228" s="339"/>
      <c r="R228" s="339"/>
      <c r="S228" s="339"/>
      <c r="T228" s="339"/>
      <c r="U228" s="339"/>
      <c r="V228" s="339"/>
      <c r="W228" s="333"/>
      <c r="X228" s="340"/>
      <c r="Y228" s="339"/>
      <c r="Z228" s="339"/>
      <c r="AA228" s="339"/>
      <c r="AB228" s="339"/>
      <c r="AC228" s="335"/>
      <c r="AD228" s="335"/>
      <c r="AE228" s="335"/>
      <c r="AF228" s="335"/>
      <c r="AG228" s="335"/>
      <c r="AH228" s="335"/>
      <c r="AI228" s="335"/>
      <c r="AJ228" s="335"/>
      <c r="AK228" s="334"/>
      <c r="AL228" s="337"/>
      <c r="AM228" s="337"/>
      <c r="AN228" s="337"/>
      <c r="AO228" s="337"/>
      <c r="AP228" s="337"/>
      <c r="AQ228" s="337"/>
      <c r="AR228" s="463" t="s">
        <v>1762</v>
      </c>
    </row>
    <row r="229" spans="2:44" ht="15.95" customHeight="1" x14ac:dyDescent="0.25">
      <c r="B229" s="461"/>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332"/>
      <c r="AP229" s="332"/>
      <c r="AQ229" s="332"/>
      <c r="AR229" s="462"/>
    </row>
    <row r="230" spans="2:44" ht="15.95" customHeight="1" x14ac:dyDescent="0.25">
      <c r="B230" s="461"/>
      <c r="C230" s="341"/>
      <c r="D230" s="341"/>
      <c r="E230" s="341"/>
      <c r="F230" s="341"/>
      <c r="G230" s="341"/>
      <c r="H230" s="341"/>
      <c r="I230" s="341"/>
      <c r="J230" s="341"/>
      <c r="K230" s="341"/>
      <c r="L230" s="341"/>
      <c r="M230" s="807" t="str">
        <f>IF(PROJID=0,"",CONCATENATE("Project ",PROJID))</f>
        <v/>
      </c>
      <c r="N230" s="807"/>
      <c r="O230" s="807"/>
      <c r="P230" s="807"/>
      <c r="Q230" s="807"/>
      <c r="R230" s="807"/>
      <c r="S230" s="807"/>
      <c r="T230" s="807"/>
      <c r="U230" s="807"/>
      <c r="V230" s="807"/>
      <c r="W230" s="807"/>
      <c r="X230" s="807"/>
      <c r="Y230" s="807"/>
      <c r="Z230" s="807"/>
      <c r="AA230" s="807"/>
      <c r="AB230" s="807"/>
      <c r="AC230" s="807"/>
      <c r="AD230" s="807"/>
      <c r="AE230" s="807"/>
      <c r="AF230" s="807"/>
      <c r="AG230" s="807"/>
      <c r="AH230" s="341"/>
      <c r="AI230" s="341"/>
      <c r="AJ230" s="341"/>
      <c r="AK230" s="342" t="s">
        <v>1763</v>
      </c>
      <c r="AL230" s="808">
        <v>45657</v>
      </c>
      <c r="AM230" s="808"/>
      <c r="AN230" s="808"/>
      <c r="AO230" s="808"/>
      <c r="AP230" s="808"/>
      <c r="AQ230" s="808"/>
      <c r="AR230" s="809"/>
    </row>
    <row r="231" spans="2:44" ht="15.95" customHeight="1" x14ac:dyDescent="0.25">
      <c r="B231" s="461"/>
      <c r="C231" s="341"/>
      <c r="D231" s="341"/>
      <c r="E231" s="341"/>
      <c r="F231" s="341"/>
      <c r="G231" s="341"/>
      <c r="H231" s="341"/>
      <c r="I231" s="341"/>
      <c r="J231" s="341"/>
      <c r="K231" s="341"/>
      <c r="L231" s="341"/>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341"/>
      <c r="AI231" s="341"/>
      <c r="AJ231" s="341"/>
      <c r="AK231" s="341"/>
      <c r="AL231" s="341"/>
      <c r="AM231" s="341"/>
      <c r="AN231" s="805" t="str">
        <f ca="1">IF(AL230&lt;TODAY(),"APPLICATION EXPIRED","")</f>
        <v/>
      </c>
      <c r="AO231" s="805"/>
      <c r="AP231" s="805"/>
      <c r="AQ231" s="805"/>
      <c r="AR231" s="806"/>
    </row>
    <row r="232" spans="2:44" ht="15.95" customHeight="1" x14ac:dyDescent="0.25">
      <c r="B232" s="791"/>
      <c r="C232" s="792"/>
      <c r="D232" s="792"/>
      <c r="E232" s="792"/>
      <c r="F232" s="792"/>
      <c r="G232" s="792"/>
      <c r="H232" s="341"/>
      <c r="I232" s="332"/>
      <c r="J232" s="332"/>
      <c r="K232" s="332"/>
      <c r="L232" s="332"/>
      <c r="M232" s="332"/>
      <c r="N232" s="332"/>
      <c r="O232" s="332"/>
      <c r="P232" s="332"/>
      <c r="Q232" s="332"/>
      <c r="R232" s="332"/>
      <c r="S232" s="332"/>
      <c r="T232" s="332"/>
      <c r="U232" s="343"/>
      <c r="V232" s="343"/>
      <c r="W232" s="332"/>
      <c r="X232" s="343"/>
      <c r="Y232" s="343"/>
      <c r="Z232" s="343"/>
      <c r="AA232" s="343"/>
      <c r="AB232" s="343"/>
      <c r="AC232" s="343"/>
      <c r="AD232" s="343"/>
      <c r="AE232" s="341"/>
      <c r="AF232" s="341"/>
      <c r="AG232" s="341"/>
      <c r="AH232" s="341"/>
      <c r="AI232" s="341"/>
      <c r="AJ232" s="341"/>
      <c r="AK232" s="341"/>
      <c r="AL232" s="341"/>
      <c r="AM232" s="341"/>
      <c r="AN232" s="341"/>
      <c r="AO232" s="341"/>
      <c r="AP232" s="341"/>
      <c r="AQ232" s="341"/>
      <c r="AR232" s="462"/>
    </row>
    <row r="233" spans="2:44" ht="15.95" customHeight="1" x14ac:dyDescent="0.25">
      <c r="W233" s="368" t="s">
        <v>2139</v>
      </c>
    </row>
  </sheetData>
  <sheetProtection algorithmName="SHA-512" hashValue="N+p9UKyV/vEaFB5LhIdwhsETNYy7rysgvipMR2CH/mdJJRt/LXfWeiNqHvMpisMYJWoH2w2gYo+d7/EhfBgYbA==" saltValue="mrlxSnQqYrKZiHrYuMCRVg==" spinCount="100000" sheet="1" objects="1" scenarios="1" selectLockedCells="1"/>
  <mergeCells count="948">
    <mergeCell ref="F144:AN144"/>
    <mergeCell ref="C145:AQ145"/>
    <mergeCell ref="C147:H147"/>
    <mergeCell ref="C148:H148"/>
    <mergeCell ref="J147:O147"/>
    <mergeCell ref="Q147:V147"/>
    <mergeCell ref="X147:AC147"/>
    <mergeCell ref="J148:O148"/>
    <mergeCell ref="Q148:V148"/>
    <mergeCell ref="X148:AC148"/>
    <mergeCell ref="C29:M29"/>
    <mergeCell ref="N29:AI29"/>
    <mergeCell ref="C68:E69"/>
    <mergeCell ref="F68:I69"/>
    <mergeCell ref="J68:K69"/>
    <mergeCell ref="N68:Q69"/>
    <mergeCell ref="R68:U69"/>
    <mergeCell ref="V68:W69"/>
    <mergeCell ref="C70:E71"/>
    <mergeCell ref="F70:I71"/>
    <mergeCell ref="J70:K71"/>
    <mergeCell ref="N70:Q71"/>
    <mergeCell ref="R70:U71"/>
    <mergeCell ref="V70:W71"/>
    <mergeCell ref="C60:E61"/>
    <mergeCell ref="F60:I61"/>
    <mergeCell ref="J60:K61"/>
    <mergeCell ref="N60:Q61"/>
    <mergeCell ref="R60:U61"/>
    <mergeCell ref="V60:W61"/>
    <mergeCell ref="C62:E63"/>
    <mergeCell ref="F62:I63"/>
    <mergeCell ref="J62:K63"/>
    <mergeCell ref="N62:Q63"/>
    <mergeCell ref="F44:I45"/>
    <mergeCell ref="J44:K45"/>
    <mergeCell ref="N44:Q45"/>
    <mergeCell ref="R44:U45"/>
    <mergeCell ref="V44:W45"/>
    <mergeCell ref="C46:E47"/>
    <mergeCell ref="F46:I47"/>
    <mergeCell ref="J46:K47"/>
    <mergeCell ref="N46:Q47"/>
    <mergeCell ref="R46:U47"/>
    <mergeCell ref="V46:W47"/>
    <mergeCell ref="C30:E31"/>
    <mergeCell ref="F30:I31"/>
    <mergeCell ref="N30:Q31"/>
    <mergeCell ref="R30:U31"/>
    <mergeCell ref="AD30:AE31"/>
    <mergeCell ref="C32:E33"/>
    <mergeCell ref="F32:I33"/>
    <mergeCell ref="J32:K33"/>
    <mergeCell ref="N32:Q33"/>
    <mergeCell ref="R32:U33"/>
    <mergeCell ref="V32:W33"/>
    <mergeCell ref="AB30:AC31"/>
    <mergeCell ref="C129:H129"/>
    <mergeCell ref="Q128:V128"/>
    <mergeCell ref="X129:AC129"/>
    <mergeCell ref="X128:AC128"/>
    <mergeCell ref="AB38:AC39"/>
    <mergeCell ref="R36:U37"/>
    <mergeCell ref="V36:W37"/>
    <mergeCell ref="R62:U63"/>
    <mergeCell ref="V62:W63"/>
    <mergeCell ref="J50:K51"/>
    <mergeCell ref="C38:E39"/>
    <mergeCell ref="F38:I39"/>
    <mergeCell ref="J38:K39"/>
    <mergeCell ref="N38:Q39"/>
    <mergeCell ref="R38:U39"/>
    <mergeCell ref="V38:W39"/>
    <mergeCell ref="C40:E41"/>
    <mergeCell ref="F40:I41"/>
    <mergeCell ref="J40:K41"/>
    <mergeCell ref="N40:Q41"/>
    <mergeCell ref="R40:U41"/>
    <mergeCell ref="V40:W41"/>
    <mergeCell ref="L40:M41"/>
    <mergeCell ref="C44:E45"/>
    <mergeCell ref="J150:O150"/>
    <mergeCell ref="AL138:AQ138"/>
    <mergeCell ref="AL23:AQ23"/>
    <mergeCell ref="C150:H150"/>
    <mergeCell ref="J122:O122"/>
    <mergeCell ref="AA221:AL223"/>
    <mergeCell ref="E209:AO209"/>
    <mergeCell ref="AL178:AQ178"/>
    <mergeCell ref="C177:V177"/>
    <mergeCell ref="L30:M31"/>
    <mergeCell ref="X30:Y31"/>
    <mergeCell ref="C125:H125"/>
    <mergeCell ref="C126:H126"/>
    <mergeCell ref="AL129:AQ129"/>
    <mergeCell ref="AL128:AQ128"/>
    <mergeCell ref="C128:H128"/>
    <mergeCell ref="D25:P25"/>
    <mergeCell ref="L36:M37"/>
    <mergeCell ref="X36:Y37"/>
    <mergeCell ref="Z36:AA37"/>
    <mergeCell ref="AB36:AC37"/>
    <mergeCell ref="L38:M39"/>
    <mergeCell ref="X38:Y39"/>
    <mergeCell ref="Z38:AA39"/>
    <mergeCell ref="AL230:AR230"/>
    <mergeCell ref="X138:AC138"/>
    <mergeCell ref="AE138:AJ138"/>
    <mergeCell ref="Q139:V139"/>
    <mergeCell ref="L182:U182"/>
    <mergeCell ref="AE147:AJ147"/>
    <mergeCell ref="AE148:AJ148"/>
    <mergeCell ref="C23:H23"/>
    <mergeCell ref="J23:O23"/>
    <mergeCell ref="Q23:V23"/>
    <mergeCell ref="X23:AC23"/>
    <mergeCell ref="AE23:AJ23"/>
    <mergeCell ref="C171:AQ175"/>
    <mergeCell ref="X141:AC141"/>
    <mergeCell ref="AA211:AL214"/>
    <mergeCell ref="AA216:AL219"/>
    <mergeCell ref="C24:AQ24"/>
    <mergeCell ref="C123:H123"/>
    <mergeCell ref="J123:O123"/>
    <mergeCell ref="L32:M33"/>
    <mergeCell ref="C28:M28"/>
    <mergeCell ref="Z32:AA33"/>
    <mergeCell ref="X32:Y33"/>
    <mergeCell ref="J30:K31"/>
    <mergeCell ref="B232:G232"/>
    <mergeCell ref="F118:AN118"/>
    <mergeCell ref="J126:O126"/>
    <mergeCell ref="Q126:V126"/>
    <mergeCell ref="X126:AC126"/>
    <mergeCell ref="AE126:AJ126"/>
    <mergeCell ref="C119:AQ120"/>
    <mergeCell ref="J125:O125"/>
    <mergeCell ref="Q125:V125"/>
    <mergeCell ref="X125:AC125"/>
    <mergeCell ref="L151:O151"/>
    <mergeCell ref="J141:O141"/>
    <mergeCell ref="AE129:AJ129"/>
    <mergeCell ref="AE128:AJ128"/>
    <mergeCell ref="Q129:V129"/>
    <mergeCell ref="X142:AC142"/>
    <mergeCell ref="X177:AJ177"/>
    <mergeCell ref="AL177:AQ177"/>
    <mergeCell ref="C178:V178"/>
    <mergeCell ref="X178:AJ178"/>
    <mergeCell ref="F135:AN135"/>
    <mergeCell ref="AN231:AR231"/>
    <mergeCell ref="M230:AG231"/>
    <mergeCell ref="I221:U223"/>
    <mergeCell ref="N50:Q51"/>
    <mergeCell ref="R50:U51"/>
    <mergeCell ref="V50:W51"/>
    <mergeCell ref="F52:I53"/>
    <mergeCell ref="J52:K53"/>
    <mergeCell ref="N52:Q53"/>
    <mergeCell ref="R52:U53"/>
    <mergeCell ref="V52:W53"/>
    <mergeCell ref="V56:W57"/>
    <mergeCell ref="R25:AD26"/>
    <mergeCell ref="R27:AD27"/>
    <mergeCell ref="AD42:AE43"/>
    <mergeCell ref="AF42:AG43"/>
    <mergeCell ref="AH42:AI43"/>
    <mergeCell ref="AJ42:AM43"/>
    <mergeCell ref="AN42:AQ43"/>
    <mergeCell ref="AD36:AE37"/>
    <mergeCell ref="AF36:AG37"/>
    <mergeCell ref="AH36:AI37"/>
    <mergeCell ref="AJ36:AM37"/>
    <mergeCell ref="AN36:AQ37"/>
    <mergeCell ref="AD40:AE41"/>
    <mergeCell ref="AF40:AG41"/>
    <mergeCell ref="X40:Y41"/>
    <mergeCell ref="Z40:AA41"/>
    <mergeCell ref="AB40:AC41"/>
    <mergeCell ref="AF25:AP27"/>
    <mergeCell ref="Z50:AA51"/>
    <mergeCell ref="AB50:AC51"/>
    <mergeCell ref="AD50:AE51"/>
    <mergeCell ref="AF50:AG51"/>
    <mergeCell ref="AH50:AI51"/>
    <mergeCell ref="AJ50:AM51"/>
    <mergeCell ref="AN50:AQ51"/>
    <mergeCell ref="Z48:AA49"/>
    <mergeCell ref="C138:H138"/>
    <mergeCell ref="L50:M51"/>
    <mergeCell ref="X50:Y51"/>
    <mergeCell ref="L48:M49"/>
    <mergeCell ref="C48:E49"/>
    <mergeCell ref="F48:I49"/>
    <mergeCell ref="J48:K49"/>
    <mergeCell ref="N48:Q49"/>
    <mergeCell ref="R48:U49"/>
    <mergeCell ref="V48:W49"/>
    <mergeCell ref="C50:E51"/>
    <mergeCell ref="F50:I51"/>
    <mergeCell ref="X48:Y49"/>
    <mergeCell ref="AB48:AC49"/>
    <mergeCell ref="AD48:AE49"/>
    <mergeCell ref="AF48:AG49"/>
    <mergeCell ref="AL139:AQ139"/>
    <mergeCell ref="J142:O142"/>
    <mergeCell ref="Q142:V142"/>
    <mergeCell ref="C113:AQ114"/>
    <mergeCell ref="D115:L116"/>
    <mergeCell ref="R115:V116"/>
    <mergeCell ref="W115:AB116"/>
    <mergeCell ref="AE115:AI116"/>
    <mergeCell ref="AJ115:AP116"/>
    <mergeCell ref="Q122:V122"/>
    <mergeCell ref="J128:O128"/>
    <mergeCell ref="C141:H141"/>
    <mergeCell ref="J139:O139"/>
    <mergeCell ref="C133:H133"/>
    <mergeCell ref="C131:O132"/>
    <mergeCell ref="Q133:V133"/>
    <mergeCell ref="C139:H139"/>
    <mergeCell ref="AE141:AJ141"/>
    <mergeCell ref="C142:H142"/>
    <mergeCell ref="J138:O138"/>
    <mergeCell ref="Q138:V138"/>
    <mergeCell ref="J129:O129"/>
    <mergeCell ref="Q123:V123"/>
    <mergeCell ref="X123:AC123"/>
    <mergeCell ref="C11:J12"/>
    <mergeCell ref="S11:Z12"/>
    <mergeCell ref="AE142:AJ142"/>
    <mergeCell ref="C151:H151"/>
    <mergeCell ref="X139:AC139"/>
    <mergeCell ref="AE139:AJ139"/>
    <mergeCell ref="Q141:V141"/>
    <mergeCell ref="C136:AQ136"/>
    <mergeCell ref="AE122:AJ122"/>
    <mergeCell ref="AE22:AJ22"/>
    <mergeCell ref="C22:H22"/>
    <mergeCell ref="AI11:AQ12"/>
    <mergeCell ref="C13:J14"/>
    <mergeCell ref="S13:Z14"/>
    <mergeCell ref="AI13:AQ14"/>
    <mergeCell ref="F18:AN18"/>
    <mergeCell ref="C122:H122"/>
    <mergeCell ref="X122:AC122"/>
    <mergeCell ref="C20:H20"/>
    <mergeCell ref="C19:J19"/>
    <mergeCell ref="J22:O22"/>
    <mergeCell ref="D26:P27"/>
    <mergeCell ref="V30:W31"/>
    <mergeCell ref="Q22:V22"/>
    <mergeCell ref="X22:AC22"/>
    <mergeCell ref="AL22:AQ22"/>
    <mergeCell ref="AD38:AE39"/>
    <mergeCell ref="AF38:AG39"/>
    <mergeCell ref="AH38:AI39"/>
    <mergeCell ref="AJ38:AM39"/>
    <mergeCell ref="AN38:AQ39"/>
    <mergeCell ref="W181:AF182"/>
    <mergeCell ref="Z30:AA31"/>
    <mergeCell ref="Z34:AA35"/>
    <mergeCell ref="AB34:AC35"/>
    <mergeCell ref="AE123:AJ123"/>
    <mergeCell ref="Q132:X132"/>
    <mergeCell ref="AF31:AG31"/>
    <mergeCell ref="AH31:AI31"/>
    <mergeCell ref="AF30:AI30"/>
    <mergeCell ref="AJ30:AM31"/>
    <mergeCell ref="AN30:AQ31"/>
    <mergeCell ref="AN32:AQ33"/>
    <mergeCell ref="AB32:AC33"/>
    <mergeCell ref="AD32:AE33"/>
    <mergeCell ref="AH40:AI41"/>
    <mergeCell ref="AJ40:AM41"/>
    <mergeCell ref="AN40:AQ41"/>
    <mergeCell ref="BI30:BI31"/>
    <mergeCell ref="BI32:BI33"/>
    <mergeCell ref="BE32:BE33"/>
    <mergeCell ref="BF32:BF33"/>
    <mergeCell ref="BG32:BG33"/>
    <mergeCell ref="BH32:BH33"/>
    <mergeCell ref="AT32:AT33"/>
    <mergeCell ref="AU32:AU33"/>
    <mergeCell ref="BF28:BF29"/>
    <mergeCell ref="BG28:BG29"/>
    <mergeCell ref="BH28:BH29"/>
    <mergeCell ref="AT30:AT31"/>
    <mergeCell ref="AU30:AU31"/>
    <mergeCell ref="BE30:BE31"/>
    <mergeCell ref="BF30:BF31"/>
    <mergeCell ref="BG30:BG31"/>
    <mergeCell ref="BH30:BH31"/>
    <mergeCell ref="BC28:BD28"/>
    <mergeCell ref="BC32:BC33"/>
    <mergeCell ref="BD32:BD33"/>
    <mergeCell ref="AX30:AX31"/>
    <mergeCell ref="AY30:AY31"/>
    <mergeCell ref="AZ30:AZ31"/>
    <mergeCell ref="BA30:BA31"/>
    <mergeCell ref="AX34:AX35"/>
    <mergeCell ref="AY34:AY35"/>
    <mergeCell ref="AZ34:AZ35"/>
    <mergeCell ref="BA34:BA35"/>
    <mergeCell ref="BB34:BB35"/>
    <mergeCell ref="AT46:AT47"/>
    <mergeCell ref="AU46:AU47"/>
    <mergeCell ref="L44:M45"/>
    <mergeCell ref="X44:Y45"/>
    <mergeCell ref="Z44:AA45"/>
    <mergeCell ref="AB44:AC45"/>
    <mergeCell ref="X46:Y47"/>
    <mergeCell ref="Z46:AA47"/>
    <mergeCell ref="AB46:AC47"/>
    <mergeCell ref="L46:M47"/>
    <mergeCell ref="AJ44:AM45"/>
    <mergeCell ref="AN44:AQ45"/>
    <mergeCell ref="AJ46:AM47"/>
    <mergeCell ref="AN46:AQ47"/>
    <mergeCell ref="AT44:AT45"/>
    <mergeCell ref="AU44:AU45"/>
    <mergeCell ref="AT40:AT41"/>
    <mergeCell ref="AU40:AU41"/>
    <mergeCell ref="AX40:AX41"/>
    <mergeCell ref="BD29:BD31"/>
    <mergeCell ref="AD34:AE35"/>
    <mergeCell ref="AF34:AG35"/>
    <mergeCell ref="AH34:AI35"/>
    <mergeCell ref="AJ34:AM35"/>
    <mergeCell ref="AN34:AQ35"/>
    <mergeCell ref="AF32:AG33"/>
    <mergeCell ref="AH32:AI33"/>
    <mergeCell ref="AJ32:AM33"/>
    <mergeCell ref="BD34:BD35"/>
    <mergeCell ref="AT34:AT35"/>
    <mergeCell ref="AV30:AV31"/>
    <mergeCell ref="AV32:AV33"/>
    <mergeCell ref="AW30:AW31"/>
    <mergeCell ref="AW32:AW33"/>
    <mergeCell ref="BB30:BB31"/>
    <mergeCell ref="BC29:BC31"/>
    <mergeCell ref="AX32:AX33"/>
    <mergeCell ref="AY32:AY33"/>
    <mergeCell ref="AZ32:AZ33"/>
    <mergeCell ref="BA32:BA33"/>
    <mergeCell ref="BB32:BB33"/>
    <mergeCell ref="AX29:AY29"/>
    <mergeCell ref="AU34:AU35"/>
    <mergeCell ref="BA40:BA41"/>
    <mergeCell ref="BB40:BB41"/>
    <mergeCell ref="AT38:AT39"/>
    <mergeCell ref="AU38:AU39"/>
    <mergeCell ref="AX38:AX39"/>
    <mergeCell ref="AY38:AY39"/>
    <mergeCell ref="AZ38:AZ39"/>
    <mergeCell ref="BA38:BA39"/>
    <mergeCell ref="BB38:BB39"/>
    <mergeCell ref="L34:M35"/>
    <mergeCell ref="X34:Y35"/>
    <mergeCell ref="C34:E35"/>
    <mergeCell ref="F34:I35"/>
    <mergeCell ref="J34:K35"/>
    <mergeCell ref="N34:Q35"/>
    <mergeCell ref="R34:U35"/>
    <mergeCell ref="V34:W35"/>
    <mergeCell ref="C36:E37"/>
    <mergeCell ref="F36:I37"/>
    <mergeCell ref="J36:K37"/>
    <mergeCell ref="N36:Q37"/>
    <mergeCell ref="L42:M43"/>
    <mergeCell ref="X42:Y43"/>
    <mergeCell ref="Z42:AA43"/>
    <mergeCell ref="AB42:AC43"/>
    <mergeCell ref="AY42:AY43"/>
    <mergeCell ref="C42:E43"/>
    <mergeCell ref="F42:I43"/>
    <mergeCell ref="J42:K43"/>
    <mergeCell ref="N42:Q43"/>
    <mergeCell ref="R42:U43"/>
    <mergeCell ref="V42:W43"/>
    <mergeCell ref="AT42:AT43"/>
    <mergeCell ref="AU42:AU43"/>
    <mergeCell ref="AX42:AX43"/>
    <mergeCell ref="B50:B51"/>
    <mergeCell ref="B32:B33"/>
    <mergeCell ref="B34:B35"/>
    <mergeCell ref="B36:B37"/>
    <mergeCell ref="B38:B39"/>
    <mergeCell ref="B40:B41"/>
    <mergeCell ref="B42:B43"/>
    <mergeCell ref="B44:B45"/>
    <mergeCell ref="B46:B47"/>
    <mergeCell ref="B48:B49"/>
    <mergeCell ref="BC40:BC41"/>
    <mergeCell ref="BD40:BD41"/>
    <mergeCell ref="AV40:AV41"/>
    <mergeCell ref="BB44:BB45"/>
    <mergeCell ref="BC44:BC45"/>
    <mergeCell ref="BD44:BD45"/>
    <mergeCell ref="BD38:BD39"/>
    <mergeCell ref="BE38:BE39"/>
    <mergeCell ref="BF38:BF39"/>
    <mergeCell ref="BC42:BC43"/>
    <mergeCell ref="BD42:BD43"/>
    <mergeCell ref="AV42:AV43"/>
    <mergeCell ref="AV44:AV45"/>
    <mergeCell ref="BC38:BC39"/>
    <mergeCell ref="AV38:AV39"/>
    <mergeCell ref="AX44:AX45"/>
    <mergeCell ref="AY44:AY45"/>
    <mergeCell ref="AZ44:AZ45"/>
    <mergeCell ref="BA44:BA45"/>
    <mergeCell ref="AZ42:AZ43"/>
    <mergeCell ref="BA42:BA43"/>
    <mergeCell ref="BB42:BB43"/>
    <mergeCell ref="AY40:AY41"/>
    <mergeCell ref="AZ40:AZ41"/>
    <mergeCell ref="BG34:BG35"/>
    <mergeCell ref="BH34:BH35"/>
    <mergeCell ref="BI34:BI35"/>
    <mergeCell ref="AT36:AT37"/>
    <mergeCell ref="AU36:AU37"/>
    <mergeCell ref="AX36:AX37"/>
    <mergeCell ref="AY36:AY37"/>
    <mergeCell ref="AZ36:AZ37"/>
    <mergeCell ref="BA36:BA37"/>
    <mergeCell ref="BB36:BB37"/>
    <mergeCell ref="BC36:BC37"/>
    <mergeCell ref="BD36:BD37"/>
    <mergeCell ref="BE36:BE37"/>
    <mergeCell ref="BF36:BF37"/>
    <mergeCell ref="BG36:BG37"/>
    <mergeCell ref="BH36:BH37"/>
    <mergeCell ref="BI36:BI37"/>
    <mergeCell ref="AV34:AV35"/>
    <mergeCell ref="AV36:AV37"/>
    <mergeCell ref="AW34:AW35"/>
    <mergeCell ref="BC34:BC35"/>
    <mergeCell ref="BE34:BE35"/>
    <mergeCell ref="BF34:BF35"/>
    <mergeCell ref="AW36:AW37"/>
    <mergeCell ref="BG38:BG39"/>
    <mergeCell ref="BH38:BH39"/>
    <mergeCell ref="BI38:BI39"/>
    <mergeCell ref="BE40:BE41"/>
    <mergeCell ref="BF40:BF41"/>
    <mergeCell ref="BG40:BG41"/>
    <mergeCell ref="BH40:BH41"/>
    <mergeCell ref="BI40:BI41"/>
    <mergeCell ref="BG48:BG49"/>
    <mergeCell ref="BH48:BH49"/>
    <mergeCell ref="BI48:BI49"/>
    <mergeCell ref="BE42:BE43"/>
    <mergeCell ref="BF42:BF43"/>
    <mergeCell ref="BG42:BG43"/>
    <mergeCell ref="BH42:BH43"/>
    <mergeCell ref="BI42:BI43"/>
    <mergeCell ref="BE44:BE45"/>
    <mergeCell ref="BF44:BF45"/>
    <mergeCell ref="BG44:BG45"/>
    <mergeCell ref="BH44:BH45"/>
    <mergeCell ref="BI44:BI45"/>
    <mergeCell ref="BG50:BG51"/>
    <mergeCell ref="BH50:BH51"/>
    <mergeCell ref="BI50:BI51"/>
    <mergeCell ref="AJ29:AQ29"/>
    <mergeCell ref="AT50:AT51"/>
    <mergeCell ref="AU50:AU51"/>
    <mergeCell ref="AX50:AX51"/>
    <mergeCell ref="AY50:AY51"/>
    <mergeCell ref="AZ50:AZ51"/>
    <mergeCell ref="BA50:BA51"/>
    <mergeCell ref="BB50:BB51"/>
    <mergeCell ref="BC50:BC51"/>
    <mergeCell ref="BD50:BD51"/>
    <mergeCell ref="BB46:BB47"/>
    <mergeCell ref="BC46:BC47"/>
    <mergeCell ref="BD46:BD47"/>
    <mergeCell ref="BE46:BE47"/>
    <mergeCell ref="BF46:BF47"/>
    <mergeCell ref="BG46:BG47"/>
    <mergeCell ref="BH46:BH47"/>
    <mergeCell ref="BI46:BI47"/>
    <mergeCell ref="AT48:AT49"/>
    <mergeCell ref="AU48:AU49"/>
    <mergeCell ref="BE50:BE51"/>
    <mergeCell ref="BF50:BF51"/>
    <mergeCell ref="AX48:AX49"/>
    <mergeCell ref="AY48:AY49"/>
    <mergeCell ref="AZ48:AZ49"/>
    <mergeCell ref="BA48:BA49"/>
    <mergeCell ref="BB48:BB49"/>
    <mergeCell ref="BC48:BC49"/>
    <mergeCell ref="BD48:BD49"/>
    <mergeCell ref="BE48:BE49"/>
    <mergeCell ref="BF48:BF49"/>
    <mergeCell ref="AZ46:AZ47"/>
    <mergeCell ref="AD46:AE47"/>
    <mergeCell ref="AF46:AG47"/>
    <mergeCell ref="AH46:AI47"/>
    <mergeCell ref="BA46:BA47"/>
    <mergeCell ref="AD44:AE45"/>
    <mergeCell ref="AF44:AG45"/>
    <mergeCell ref="AH44:AI45"/>
    <mergeCell ref="AX46:AX47"/>
    <mergeCell ref="AY46:AY47"/>
    <mergeCell ref="AJ54:AM55"/>
    <mergeCell ref="AN54:AQ55"/>
    <mergeCell ref="L52:M53"/>
    <mergeCell ref="X52:Y53"/>
    <mergeCell ref="Z52:AA53"/>
    <mergeCell ref="V54:W55"/>
    <mergeCell ref="AB52:AC53"/>
    <mergeCell ref="AD52:AE53"/>
    <mergeCell ref="AF52:AG53"/>
    <mergeCell ref="X56:Y57"/>
    <mergeCell ref="Z56:AA57"/>
    <mergeCell ref="AB56:AC57"/>
    <mergeCell ref="AD56:AE57"/>
    <mergeCell ref="AF56:AG57"/>
    <mergeCell ref="B52:B53"/>
    <mergeCell ref="B54:B55"/>
    <mergeCell ref="B56:B57"/>
    <mergeCell ref="L56:M57"/>
    <mergeCell ref="C54:E55"/>
    <mergeCell ref="F54:I55"/>
    <mergeCell ref="J54:K55"/>
    <mergeCell ref="N54:Q55"/>
    <mergeCell ref="R54:U55"/>
    <mergeCell ref="C56:E57"/>
    <mergeCell ref="F56:I57"/>
    <mergeCell ref="J56:K57"/>
    <mergeCell ref="N56:Q57"/>
    <mergeCell ref="R56:U57"/>
    <mergeCell ref="C52:E53"/>
    <mergeCell ref="L54:M55"/>
    <mergeCell ref="X54:Y55"/>
    <mergeCell ref="Z54:AA55"/>
    <mergeCell ref="AB54:AC55"/>
    <mergeCell ref="Z58:AA59"/>
    <mergeCell ref="AB58:AC59"/>
    <mergeCell ref="AD58:AE59"/>
    <mergeCell ref="AF58:AG59"/>
    <mergeCell ref="AH58:AI59"/>
    <mergeCell ref="AJ58:AM59"/>
    <mergeCell ref="AN58:AQ59"/>
    <mergeCell ref="C58:E59"/>
    <mergeCell ref="F58:I59"/>
    <mergeCell ref="J58:K59"/>
    <mergeCell ref="N58:Q59"/>
    <mergeCell ref="R58:U59"/>
    <mergeCell ref="V58:W59"/>
    <mergeCell ref="AF60:AG61"/>
    <mergeCell ref="AH60:AI61"/>
    <mergeCell ref="AH56:AI57"/>
    <mergeCell ref="AJ56:AM57"/>
    <mergeCell ref="AJ60:AM61"/>
    <mergeCell ref="AN60:AQ61"/>
    <mergeCell ref="B62:B63"/>
    <mergeCell ref="L62:M63"/>
    <mergeCell ref="X62:Y63"/>
    <mergeCell ref="Z62:AA63"/>
    <mergeCell ref="AB62:AC63"/>
    <mergeCell ref="AD62:AE63"/>
    <mergeCell ref="AF62:AG63"/>
    <mergeCell ref="AH62:AI63"/>
    <mergeCell ref="AJ62:AM63"/>
    <mergeCell ref="AN62:AQ63"/>
    <mergeCell ref="B60:B61"/>
    <mergeCell ref="L60:M61"/>
    <mergeCell ref="X60:Y61"/>
    <mergeCell ref="Z60:AA61"/>
    <mergeCell ref="AN56:AQ57"/>
    <mergeCell ref="B58:B59"/>
    <mergeCell ref="L58:M59"/>
    <mergeCell ref="X58:Y59"/>
    <mergeCell ref="B64:B65"/>
    <mergeCell ref="L64:M65"/>
    <mergeCell ref="X64:Y65"/>
    <mergeCell ref="Z64:AA65"/>
    <mergeCell ref="C64:E65"/>
    <mergeCell ref="F64:I65"/>
    <mergeCell ref="J64:K65"/>
    <mergeCell ref="N64:Q65"/>
    <mergeCell ref="R64:U65"/>
    <mergeCell ref="V64:W65"/>
    <mergeCell ref="B66:B67"/>
    <mergeCell ref="L66:M67"/>
    <mergeCell ref="X66:Y67"/>
    <mergeCell ref="Z66:AA67"/>
    <mergeCell ref="C66:E67"/>
    <mergeCell ref="F66:I67"/>
    <mergeCell ref="J66:K67"/>
    <mergeCell ref="N66:Q67"/>
    <mergeCell ref="R66:U67"/>
    <mergeCell ref="V66:W67"/>
    <mergeCell ref="AB70:AC71"/>
    <mergeCell ref="AD70:AE71"/>
    <mergeCell ref="AF70:AG71"/>
    <mergeCell ref="AH70:AI71"/>
    <mergeCell ref="AJ70:AM71"/>
    <mergeCell ref="AN70:AQ71"/>
    <mergeCell ref="B68:B69"/>
    <mergeCell ref="L68:M69"/>
    <mergeCell ref="X68:Y69"/>
    <mergeCell ref="Z68:AA69"/>
    <mergeCell ref="B70:B71"/>
    <mergeCell ref="L70:M71"/>
    <mergeCell ref="X70:Y71"/>
    <mergeCell ref="Z70:AA71"/>
    <mergeCell ref="BA52:BA53"/>
    <mergeCell ref="BB52:BB53"/>
    <mergeCell ref="BC52:BC53"/>
    <mergeCell ref="BD52:BD53"/>
    <mergeCell ref="AB68:AC69"/>
    <mergeCell ref="AD68:AE69"/>
    <mergeCell ref="AF68:AG69"/>
    <mergeCell ref="AH68:AI69"/>
    <mergeCell ref="AJ68:AM69"/>
    <mergeCell ref="AN68:AQ69"/>
    <mergeCell ref="AB64:AC65"/>
    <mergeCell ref="AD64:AE65"/>
    <mergeCell ref="AF64:AG65"/>
    <mergeCell ref="AH64:AI65"/>
    <mergeCell ref="AJ64:AM65"/>
    <mergeCell ref="AN64:AQ65"/>
    <mergeCell ref="AB66:AC67"/>
    <mergeCell ref="AD66:AE67"/>
    <mergeCell ref="AF66:AG67"/>
    <mergeCell ref="AH66:AI67"/>
    <mergeCell ref="AJ66:AM67"/>
    <mergeCell ref="AN66:AQ67"/>
    <mergeCell ref="AB60:AC61"/>
    <mergeCell ref="AD60:AE61"/>
    <mergeCell ref="BE52:BE53"/>
    <mergeCell ref="BF52:BF53"/>
    <mergeCell ref="BG52:BG53"/>
    <mergeCell ref="BH52:BH53"/>
    <mergeCell ref="BI52:BI53"/>
    <mergeCell ref="AT54:AT55"/>
    <mergeCell ref="AU54:AU55"/>
    <mergeCell ref="AX54:AX55"/>
    <mergeCell ref="AY54:AY55"/>
    <mergeCell ref="AZ54:AZ55"/>
    <mergeCell ref="BA54:BA55"/>
    <mergeCell ref="BB54:BB55"/>
    <mergeCell ref="BC54:BC55"/>
    <mergeCell ref="BD54:BD55"/>
    <mergeCell ref="BE54:BE55"/>
    <mergeCell ref="BF54:BF55"/>
    <mergeCell ref="BG54:BG55"/>
    <mergeCell ref="BH54:BH55"/>
    <mergeCell ref="BI54:BI55"/>
    <mergeCell ref="AT52:AT53"/>
    <mergeCell ref="AU52:AU53"/>
    <mergeCell ref="AX52:AX53"/>
    <mergeCell ref="AY52:AY53"/>
    <mergeCell ref="AZ52:AZ53"/>
    <mergeCell ref="BF56:BF57"/>
    <mergeCell ref="BG56:BG57"/>
    <mergeCell ref="BH56:BH57"/>
    <mergeCell ref="BI56:BI57"/>
    <mergeCell ref="AT58:AT59"/>
    <mergeCell ref="AU58:AU59"/>
    <mergeCell ref="AX58:AX59"/>
    <mergeCell ref="AY58:AY59"/>
    <mergeCell ref="AZ58:AZ59"/>
    <mergeCell ref="BA58:BA59"/>
    <mergeCell ref="BB58:BB59"/>
    <mergeCell ref="BC58:BC59"/>
    <mergeCell ref="BD58:BD59"/>
    <mergeCell ref="BE58:BE59"/>
    <mergeCell ref="BF58:BF59"/>
    <mergeCell ref="BG58:BG59"/>
    <mergeCell ref="BH58:BH59"/>
    <mergeCell ref="BI58:BI59"/>
    <mergeCell ref="AV56:AV57"/>
    <mergeCell ref="AV58:AV59"/>
    <mergeCell ref="AW56:AW57"/>
    <mergeCell ref="AW58:AW59"/>
    <mergeCell ref="AT56:AT57"/>
    <mergeCell ref="AU56:AU57"/>
    <mergeCell ref="AX60:AX61"/>
    <mergeCell ref="AY60:AY61"/>
    <mergeCell ref="AZ60:AZ61"/>
    <mergeCell ref="BA60:BA61"/>
    <mergeCell ref="BB60:BB61"/>
    <mergeCell ref="BC60:BC61"/>
    <mergeCell ref="BD60:BD61"/>
    <mergeCell ref="BE56:BE57"/>
    <mergeCell ref="AX56:AX57"/>
    <mergeCell ref="AY56:AY57"/>
    <mergeCell ref="AZ56:AZ57"/>
    <mergeCell ref="BA56:BA57"/>
    <mergeCell ref="BB56:BB57"/>
    <mergeCell ref="BC56:BC57"/>
    <mergeCell ref="BD56:BD57"/>
    <mergeCell ref="BE60:BE61"/>
    <mergeCell ref="BF60:BF61"/>
    <mergeCell ref="BG60:BG61"/>
    <mergeCell ref="BH60:BH61"/>
    <mergeCell ref="BI60:BI61"/>
    <mergeCell ref="AT62:AT63"/>
    <mergeCell ref="AU62:AU63"/>
    <mergeCell ref="AX62:AX63"/>
    <mergeCell ref="AY62:AY63"/>
    <mergeCell ref="AZ62:AZ63"/>
    <mergeCell ref="BA62:BA63"/>
    <mergeCell ref="BB62:BB63"/>
    <mergeCell ref="BC62:BC63"/>
    <mergeCell ref="BD62:BD63"/>
    <mergeCell ref="BE62:BE63"/>
    <mergeCell ref="BF62:BF63"/>
    <mergeCell ref="BG62:BG63"/>
    <mergeCell ref="BH62:BH63"/>
    <mergeCell ref="BI62:BI63"/>
    <mergeCell ref="AV60:AV61"/>
    <mergeCell ref="AV62:AV63"/>
    <mergeCell ref="AW60:AW61"/>
    <mergeCell ref="AW62:AW63"/>
    <mergeCell ref="AT60:AT61"/>
    <mergeCell ref="AU60:AU61"/>
    <mergeCell ref="BF64:BF65"/>
    <mergeCell ref="BG64:BG65"/>
    <mergeCell ref="BH64:BH65"/>
    <mergeCell ref="BI64:BI65"/>
    <mergeCell ref="AT66:AT67"/>
    <mergeCell ref="AU66:AU67"/>
    <mergeCell ref="AX66:AX67"/>
    <mergeCell ref="AY66:AY67"/>
    <mergeCell ref="AZ66:AZ67"/>
    <mergeCell ref="BA66:BA67"/>
    <mergeCell ref="BB66:BB67"/>
    <mergeCell ref="BC66:BC67"/>
    <mergeCell ref="BD66:BD67"/>
    <mergeCell ref="BE66:BE67"/>
    <mergeCell ref="BF66:BF67"/>
    <mergeCell ref="BG66:BG67"/>
    <mergeCell ref="BH66:BH67"/>
    <mergeCell ref="BI66:BI67"/>
    <mergeCell ref="AV64:AV65"/>
    <mergeCell ref="AV66:AV67"/>
    <mergeCell ref="AW64:AW65"/>
    <mergeCell ref="AW66:AW67"/>
    <mergeCell ref="AT64:AT65"/>
    <mergeCell ref="AU64:AU65"/>
    <mergeCell ref="AX68:AX69"/>
    <mergeCell ref="AY68:AY69"/>
    <mergeCell ref="AZ68:AZ69"/>
    <mergeCell ref="BA68:BA69"/>
    <mergeCell ref="BB68:BB69"/>
    <mergeCell ref="BC68:BC69"/>
    <mergeCell ref="BD68:BD69"/>
    <mergeCell ref="BE64:BE65"/>
    <mergeCell ref="AX64:AX65"/>
    <mergeCell ref="AY64:AY65"/>
    <mergeCell ref="AZ64:AZ65"/>
    <mergeCell ref="BA64:BA65"/>
    <mergeCell ref="BB64:BB65"/>
    <mergeCell ref="BC64:BC65"/>
    <mergeCell ref="BD64:BD65"/>
    <mergeCell ref="BE68:BE69"/>
    <mergeCell ref="BF68:BF69"/>
    <mergeCell ref="BG68:BG69"/>
    <mergeCell ref="BH68:BH69"/>
    <mergeCell ref="BI68:BI69"/>
    <mergeCell ref="AT70:AT71"/>
    <mergeCell ref="AU70:AU71"/>
    <mergeCell ref="AX70:AX71"/>
    <mergeCell ref="AY70:AY71"/>
    <mergeCell ref="AZ70:AZ71"/>
    <mergeCell ref="BA70:BA71"/>
    <mergeCell ref="BB70:BB71"/>
    <mergeCell ref="BC70:BC71"/>
    <mergeCell ref="BD70:BD71"/>
    <mergeCell ref="BE70:BE71"/>
    <mergeCell ref="BF70:BF71"/>
    <mergeCell ref="BG70:BG71"/>
    <mergeCell ref="BH70:BH71"/>
    <mergeCell ref="BI70:BI71"/>
    <mergeCell ref="AV68:AV69"/>
    <mergeCell ref="AV70:AV71"/>
    <mergeCell ref="AW68:AW69"/>
    <mergeCell ref="AW70:AW71"/>
    <mergeCell ref="AT68:AT69"/>
    <mergeCell ref="AU68:AU69"/>
    <mergeCell ref="L15:AH17"/>
    <mergeCell ref="AV50:AV51"/>
    <mergeCell ref="AV52:AV53"/>
    <mergeCell ref="AV54:AV55"/>
    <mergeCell ref="AW38:AW39"/>
    <mergeCell ref="AW40:AW41"/>
    <mergeCell ref="AW42:AW43"/>
    <mergeCell ref="AW44:AW45"/>
    <mergeCell ref="AW46:AW47"/>
    <mergeCell ref="AW48:AW49"/>
    <mergeCell ref="AW50:AW51"/>
    <mergeCell ref="AW52:AW53"/>
    <mergeCell ref="AW54:AW55"/>
    <mergeCell ref="AH48:AI49"/>
    <mergeCell ref="AJ48:AM49"/>
    <mergeCell ref="AN48:AQ49"/>
    <mergeCell ref="AV46:AV47"/>
    <mergeCell ref="AV48:AV49"/>
    <mergeCell ref="AH52:AI53"/>
    <mergeCell ref="AJ52:AM53"/>
    <mergeCell ref="AN52:AQ53"/>
    <mergeCell ref="AD54:AE55"/>
    <mergeCell ref="AF54:AG55"/>
    <mergeCell ref="AH54:AI55"/>
    <mergeCell ref="BV30:BV31"/>
    <mergeCell ref="BM32:BM33"/>
    <mergeCell ref="BN32:BN33"/>
    <mergeCell ref="BO32:BO33"/>
    <mergeCell ref="BP32:BP33"/>
    <mergeCell ref="BQ32:BQ33"/>
    <mergeCell ref="BR32:BR33"/>
    <mergeCell ref="BS32:BS33"/>
    <mergeCell ref="BT32:BT33"/>
    <mergeCell ref="BU32:BU33"/>
    <mergeCell ref="BV32:BV33"/>
    <mergeCell ref="BM30:BM31"/>
    <mergeCell ref="BN30:BN31"/>
    <mergeCell ref="BO30:BO31"/>
    <mergeCell ref="BP30:BP31"/>
    <mergeCell ref="BQ30:BQ31"/>
    <mergeCell ref="BR30:BR31"/>
    <mergeCell ref="BS30:BS31"/>
    <mergeCell ref="BT30:BT31"/>
    <mergeCell ref="BU30:BU31"/>
    <mergeCell ref="BV34:BV35"/>
    <mergeCell ref="BM36:BM37"/>
    <mergeCell ref="BN36:BN37"/>
    <mergeCell ref="BO36:BO37"/>
    <mergeCell ref="BP36:BP37"/>
    <mergeCell ref="BQ36:BQ37"/>
    <mergeCell ref="BR36:BR37"/>
    <mergeCell ref="BS36:BS37"/>
    <mergeCell ref="BT36:BT37"/>
    <mergeCell ref="BU36:BU37"/>
    <mergeCell ref="BV36:BV37"/>
    <mergeCell ref="BM34:BM35"/>
    <mergeCell ref="BN34:BN35"/>
    <mergeCell ref="BO34:BO35"/>
    <mergeCell ref="BP34:BP35"/>
    <mergeCell ref="BQ34:BQ35"/>
    <mergeCell ref="BR34:BR35"/>
    <mergeCell ref="BS34:BS35"/>
    <mergeCell ref="BT34:BT35"/>
    <mergeCell ref="BU34:BU35"/>
    <mergeCell ref="BV38:BV39"/>
    <mergeCell ref="BM40:BM41"/>
    <mergeCell ref="BN40:BN41"/>
    <mergeCell ref="BO40:BO41"/>
    <mergeCell ref="BP40:BP41"/>
    <mergeCell ref="BQ40:BQ41"/>
    <mergeCell ref="BR40:BR41"/>
    <mergeCell ref="BS40:BS41"/>
    <mergeCell ref="BT40:BT41"/>
    <mergeCell ref="BU40:BU41"/>
    <mergeCell ref="BV40:BV41"/>
    <mergeCell ref="BM38:BM39"/>
    <mergeCell ref="BN38:BN39"/>
    <mergeCell ref="BO38:BO39"/>
    <mergeCell ref="BP38:BP39"/>
    <mergeCell ref="BQ38:BQ39"/>
    <mergeCell ref="BR38:BR39"/>
    <mergeCell ref="BS38:BS39"/>
    <mergeCell ref="BT38:BT39"/>
    <mergeCell ref="BU38:BU39"/>
    <mergeCell ref="BV42:BV43"/>
    <mergeCell ref="BM44:BM45"/>
    <mergeCell ref="BN44:BN45"/>
    <mergeCell ref="BO44:BO45"/>
    <mergeCell ref="BP44:BP45"/>
    <mergeCell ref="BQ44:BQ45"/>
    <mergeCell ref="BR44:BR45"/>
    <mergeCell ref="BS44:BS45"/>
    <mergeCell ref="BT44:BT45"/>
    <mergeCell ref="BU44:BU45"/>
    <mergeCell ref="BV44:BV45"/>
    <mergeCell ref="BM42:BM43"/>
    <mergeCell ref="BN42:BN43"/>
    <mergeCell ref="BO42:BO43"/>
    <mergeCell ref="BP42:BP43"/>
    <mergeCell ref="BQ42:BQ43"/>
    <mergeCell ref="BR42:BR43"/>
    <mergeCell ref="BS42:BS43"/>
    <mergeCell ref="BT42:BT43"/>
    <mergeCell ref="BU42:BU43"/>
    <mergeCell ref="BO48:BO49"/>
    <mergeCell ref="BP48:BP49"/>
    <mergeCell ref="BQ48:BQ49"/>
    <mergeCell ref="BR48:BR49"/>
    <mergeCell ref="BS48:BS49"/>
    <mergeCell ref="BT48:BT49"/>
    <mergeCell ref="BU48:BU49"/>
    <mergeCell ref="BV48:BV49"/>
    <mergeCell ref="BM46:BM47"/>
    <mergeCell ref="BN46:BN47"/>
    <mergeCell ref="BO46:BO47"/>
    <mergeCell ref="BP46:BP47"/>
    <mergeCell ref="BQ46:BQ47"/>
    <mergeCell ref="BR46:BR47"/>
    <mergeCell ref="BS46:BS47"/>
    <mergeCell ref="BT46:BT47"/>
    <mergeCell ref="BU46:BU47"/>
    <mergeCell ref="BV50:BV51"/>
    <mergeCell ref="BJ30:BJ31"/>
    <mergeCell ref="BJ32:BJ33"/>
    <mergeCell ref="BJ34:BJ35"/>
    <mergeCell ref="BJ36:BJ37"/>
    <mergeCell ref="BJ38:BJ39"/>
    <mergeCell ref="BJ40:BJ41"/>
    <mergeCell ref="BJ42:BJ43"/>
    <mergeCell ref="BJ44:BJ45"/>
    <mergeCell ref="BJ46:BJ47"/>
    <mergeCell ref="BJ48:BJ49"/>
    <mergeCell ref="BJ50:BJ51"/>
    <mergeCell ref="BM50:BM51"/>
    <mergeCell ref="BN50:BN51"/>
    <mergeCell ref="BO50:BO51"/>
    <mergeCell ref="BP50:BP51"/>
    <mergeCell ref="BQ50:BQ51"/>
    <mergeCell ref="BR50:BR51"/>
    <mergeCell ref="BS50:BS51"/>
    <mergeCell ref="BT50:BT51"/>
    <mergeCell ref="BU50:BU51"/>
    <mergeCell ref="BV46:BV47"/>
    <mergeCell ref="BM48:BM49"/>
    <mergeCell ref="BN48:BN49"/>
    <mergeCell ref="C200:AQ203"/>
    <mergeCell ref="C204:AQ204"/>
    <mergeCell ref="C206:V206"/>
    <mergeCell ref="X206:AJ206"/>
    <mergeCell ref="AL206:AQ206"/>
    <mergeCell ref="C207:V207"/>
    <mergeCell ref="X207:AJ207"/>
    <mergeCell ref="AL207:AQ207"/>
    <mergeCell ref="F184:AN184"/>
    <mergeCell ref="C186:AQ193"/>
    <mergeCell ref="C195:V195"/>
    <mergeCell ref="C196:V196"/>
    <mergeCell ref="X195:AJ195"/>
    <mergeCell ref="X196:AJ196"/>
    <mergeCell ref="AL195:AQ195"/>
    <mergeCell ref="AL196:AQ196"/>
    <mergeCell ref="F198:AN198"/>
  </mergeCells>
  <conditionalFormatting sqref="C20">
    <cfRule type="expression" dxfId="36" priority="99">
      <formula>M02S03F01="No"</formula>
    </cfRule>
  </conditionalFormatting>
  <conditionalFormatting sqref="C23 J23 Q23 X23 AE23 AL23">
    <cfRule type="expression" dxfId="35" priority="265">
      <formula>M02S03F01="No"</formula>
    </cfRule>
  </conditionalFormatting>
  <conditionalFormatting sqref="C126 J126 Q126 X126 AE126">
    <cfRule type="expression" dxfId="34" priority="150">
      <formula>OR(M02S02F46="Company",M02S02F46="Site",M02S02F46="Vendor (Enter on Next Page)")</formula>
    </cfRule>
  </conditionalFormatting>
  <conditionalFormatting sqref="C141:H142">
    <cfRule type="expression" dxfId="33" priority="148">
      <formula>M02S04F01&lt;&gt;"Site (Bill Credit)"</formula>
    </cfRule>
  </conditionalFormatting>
  <conditionalFormatting sqref="J32 J34 J36 J38 J40 J42 J44 J46 J48 J50 J52 J54 J56 J58 J60 J62 J64 J66 J68 J70">
    <cfRule type="expression" dxfId="32" priority="268">
      <formula>$J32&lt;&gt;INDEX(CMELIGHTBASEW,MATCH($F32,CMELIGHTBASE1,0))</formula>
    </cfRule>
  </conditionalFormatting>
  <conditionalFormatting sqref="J142:O142">
    <cfRule type="expression" dxfId="31" priority="137">
      <formula>$J$142="Trade Ally Address"</formula>
    </cfRule>
  </conditionalFormatting>
  <conditionalFormatting sqref="J148:O148">
    <cfRule type="expression" dxfId="30" priority="4">
      <formula>$J$142="Trade Ally Address"</formula>
    </cfRule>
  </conditionalFormatting>
  <conditionalFormatting sqref="L72:M111">
    <cfRule type="expression" dxfId="29" priority="8">
      <formula>$L72&lt;&gt;INDEX(CMELIGHTBASEW,MATCH($G72,CMELIGHTBASE1,0))</formula>
    </cfRule>
  </conditionalFormatting>
  <conditionalFormatting sqref="Q142:V142">
    <cfRule type="expression" dxfId="28" priority="136">
      <formula>$Q$142="Trade Ally City"</formula>
    </cfRule>
  </conditionalFormatting>
  <conditionalFormatting sqref="Q148:V148">
    <cfRule type="expression" dxfId="27" priority="3">
      <formula>$Q$142="Trade Ally City"</formula>
    </cfRule>
  </conditionalFormatting>
  <conditionalFormatting sqref="Q132:X133">
    <cfRule type="expression" dxfId="26" priority="97">
      <formula>OR(M02S02F15="Yes",M02S02F15="")</formula>
    </cfRule>
  </conditionalFormatting>
  <conditionalFormatting sqref="R25">
    <cfRule type="expression" dxfId="25" priority="6">
      <formula>OR(M02S02F44="",ISNUMBER(SEARCH("YES,",M02S02F44)))</formula>
    </cfRule>
  </conditionalFormatting>
  <conditionalFormatting sqref="R27:AD27">
    <cfRule type="expression" dxfId="24" priority="5">
      <formula>OR(M02S02F44="",ISNUMBER(SEARCH("YES,",M02S02F44)))</formula>
    </cfRule>
  </conditionalFormatting>
  <conditionalFormatting sqref="V32 V34 V36 V38 V40 V42 V44 V46 V48 V50 V52 V54 V56 V58 V60 V62 V64 V66 V68 V70">
    <cfRule type="expression" dxfId="23" priority="270">
      <formula>$V32="N/A"</formula>
    </cfRule>
  </conditionalFormatting>
  <conditionalFormatting sqref="W181:AF183">
    <cfRule type="expression" dxfId="22" priority="89">
      <formula>NOT(ISNUMBER(SEARCH("Other",$L$182)))</formula>
    </cfRule>
  </conditionalFormatting>
  <conditionalFormatting sqref="X129">
    <cfRule type="expression" dxfId="21" priority="160">
      <formula>M02S02F35&lt;&gt;0.089</formula>
    </cfRule>
  </conditionalFormatting>
  <conditionalFormatting sqref="X72:Y111">
    <cfRule type="expression" dxfId="20" priority="7">
      <formula>$X72="N/A"</formula>
    </cfRule>
  </conditionalFormatting>
  <conditionalFormatting sqref="X129:AC129">
    <cfRule type="expression" dxfId="19" priority="108">
      <formula>M02S02F35=0.089</formula>
    </cfRule>
  </conditionalFormatting>
  <conditionalFormatting sqref="X142:AC142">
    <cfRule type="expression" dxfId="18" priority="135">
      <formula>$X$142="Trade Ally State/ Province"</formula>
    </cfRule>
  </conditionalFormatting>
  <conditionalFormatting sqref="X148:AC148">
    <cfRule type="expression" dxfId="17" priority="2">
      <formula>$X$142="Trade Ally State/ Province"</formula>
    </cfRule>
  </conditionalFormatting>
  <conditionalFormatting sqref="AE142:AJ142">
    <cfRule type="expression" dxfId="16" priority="134">
      <formula>$AE$142="Trade Ally Zip/ Postal Code"</formula>
    </cfRule>
  </conditionalFormatting>
  <conditionalFormatting sqref="AE148:AJ148">
    <cfRule type="expression" dxfId="15" priority="1">
      <formula>$AE$142="Trade Ally Zip/ Postal Code"</formula>
    </cfRule>
  </conditionalFormatting>
  <conditionalFormatting sqref="AN32 AN34 AN36 AN38 AN40 AN42 AN44 AN46 AN48 AN50 AN52 AN54 AN56 AN58 AN60 AN62 AN64 AN66 AN68 AN70">
    <cfRule type="expression" dxfId="14" priority="11" stopIfTrue="1">
      <formula>ISNUMBER(AN32)=FALSE</formula>
    </cfRule>
    <cfRule type="expression" dxfId="13" priority="12">
      <formula>$AY33="Yes"</formula>
    </cfRule>
  </conditionalFormatting>
  <dataValidations xWindow="484" yWindow="1027" count="32">
    <dataValidation type="whole" operator="lessThanOrEqual" allowBlank="1" showInputMessage="1" showErrorMessage="1" sqref="AE123:AJ123" xr:uid="{7348F4C4-D845-48E0-AF72-7B24E20F340B}">
      <formula1>99999</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AL129 AE129" xr:uid="{F0F2E641-B331-4B6A-8F25-35ADC31A290B}">
      <formula1>10</formula1>
    </dataValidation>
    <dataValidation type="list" allowBlank="1" showInputMessage="1" showErrorMessage="1" sqref="Q129:V129" xr:uid="{21B4FA69-71EE-4BC4-A33A-CF066E8D1734}">
      <formula1>SHEAT</formula1>
    </dataValidation>
    <dataValidation type="list" allowBlank="1" showInputMessage="1" showErrorMessage="1" sqref="C129:H129" xr:uid="{7BED5F5D-DD45-4D3C-B682-E10BBC8BAFB4}">
      <formula1>BUILDING</formula1>
    </dataValidation>
    <dataValidation type="list" allowBlank="1" showInputMessage="1" showErrorMessage="1" sqref="X123" xr:uid="{A5AC7BAB-0D52-41A2-85B1-ED52E8E10B1A}">
      <formula1>"MO"</formula1>
    </dataValidation>
    <dataValidation type="custom" allowBlank="1" showInputMessage="1" showErrorMessage="1" error="Please enter a valid email address." sqref="AE126:AJ126" xr:uid="{641A7E32-DB33-43F7-B6C3-02812B13D58E}">
      <formula1>AND(FIND(".",AE126),FIND("@",AE126))</formula1>
    </dataValidation>
    <dataValidation type="date" operator="greaterThan" allowBlank="1" showInputMessage="1" showErrorMessage="1" error="Please enter a valid date in the format MM/DD/YYYY" sqref="AL178:AQ178" xr:uid="{0D0DF781-CC0B-4D0C-9BD5-0507D6C15004}">
      <formula1>42005</formula1>
    </dataValidation>
    <dataValidation type="textLength" allowBlank="1" showInputMessage="1" sqref="C142:H142" xr:uid="{E5CEECFB-9B78-46E5-80CC-110A6D7A5A8B}">
      <formula1>5</formula1>
      <formula2>10</formula2>
    </dataValidation>
    <dataValidation type="list" allowBlank="1" showInputMessage="1" showErrorMessage="1" sqref="C151:H151" xr:uid="{7A89DEC7-255E-496C-A459-67A2A7C9A252}">
      <formula1>TAX</formula1>
    </dataValidation>
    <dataValidation type="textLength" operator="equal" allowBlank="1" showInputMessage="1" showErrorMessage="1" error="Please enter only the last 7 digits of the Tax ID" prompt="Please enter only the last 7 digits of the Tax ID" sqref="L151:O151" xr:uid="{2C8B0C46-40F8-4637-A9E9-77426D6E10F1}">
      <formula1>7</formula1>
    </dataValidation>
    <dataValidation type="textLength" operator="equal" allowBlank="1" showInputMessage="1" showErrorMessage="1" error="Please enter only the first 2 digits of the Tax ID" prompt="Please enter only the first 2 digits of the Tax ID" sqref="J151" xr:uid="{CBB791A7-6A05-4484-B196-6B71DD846A96}">
      <formula1>2</formula1>
    </dataValidation>
    <dataValidation type="list" allowBlank="1" showInputMessage="1" showErrorMessage="1" sqref="X142:AC142 X148:AC148" xr:uid="{1E0781A8-F793-40BB-B60D-BB238A95A8D7}">
      <formula1>STATESABBREV</formula1>
    </dataValidation>
    <dataValidation type="list" allowBlank="1" showInputMessage="1" showErrorMessage="1" prompt="Selecting the Payment Type will autopopulate with selected option." sqref="C139:H139" xr:uid="{5102B97B-E049-4CC9-B285-2A51514695A9}">
      <formula1>PAYTO</formula1>
    </dataValidation>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178:V178" xr:uid="{6E4A08E5-E4C5-4D61-8D5C-F6A973CF0857}"/>
    <dataValidation allowBlank="1" showErrorMessage="1" sqref="D229:AR229 D226:AR226 Y227:AR227 AN231:AR231 C228:AR228 C227:S227 AM216:AN217 AM214:AN214 AP221:AP223 AN209:AO217 E209:H217 AP225:AQ225 E219:I219 K219:AO219 E218:AO218 H211:AL217 E220:AO224 H218:I219 K218:AL219 AQ181:AQ183 AQ185 AQ194:AQ199 AQ204:AQ223 AR118:AR225" xr:uid="{DB5AFC08-808E-45ED-97C8-81399DDBBEF9}"/>
    <dataValidation allowBlank="1" prompt="You may provide a site name for this project for easy reference in future communications." sqref="C123:H123" xr:uid="{F2EF2522-BCCB-419F-99F9-0BCB0C311F66}"/>
    <dataValidation type="decimal" operator="lessThanOrEqual" allowBlank="1" showInputMessage="1" showErrorMessage="1" prompt="This field is auto-filled using the average commercial rate for Missouri. Please consult your utility bill for your account rate if you wish for a more accurate savings summary._x000a_" sqref="X129:AC129" xr:uid="{71154524-8078-483D-8387-517BE3ADBD6E}">
      <formula1>10</formula1>
    </dataValidation>
    <dataValidation type="list" allowBlank="1" showInputMessage="1" showErrorMessage="1" sqref="L182:U183 L185:U185 L194:U194 L196:U197" xr:uid="{A1E9AD04-A6BF-4A42-B0BA-8BF5E82F1A36}">
      <formula1>HEARABOUT</formula1>
    </dataValidation>
    <dataValidation type="list" allowBlank="1" showInputMessage="1" showErrorMessage="1" sqref="C34 C32 C36 C38 C40 C42 C44 C46 C48 C72:F111 C52 C54 C56 C58 C60 C62 C64 C66 C68 C70 C50" xr:uid="{E4B78FD6-793B-4A0D-89B1-86B323F8A2D4}">
      <formula1>LIGHTCAT</formula1>
    </dataValidation>
    <dataValidation type="list" allowBlank="1" showInputMessage="1" showErrorMessage="1" sqref="F32:I71" xr:uid="{799EBD4C-AB03-46BA-AC37-DFD509B3128E}">
      <formula1>QUIKLIGHTDET</formula1>
    </dataValidation>
    <dataValidation type="whole" operator="greaterThan" allowBlank="1" showInputMessage="1" showErrorMessage="1" sqref="L34 Z32 Z34 L32 L36 L38 L40 L42 L44 L46 L48 L50 L52 L54 L56 L58 L60 L62 L64 L66 L68 L70 Z36 Z38 Z40 Z42 Z44 Z46 Z48 Z50 Z52 Z54 Z56 Z58 Z60 Z62 Z64 Z66 Z68 Z70 AB72:AC111 N72:O111" xr:uid="{5FA5D774-A1F4-4CFE-B83A-04EA428C9A40}">
      <formula1>0</formula1>
    </dataValidation>
    <dataValidation type="whole" operator="lessThanOrEqual" allowBlank="1" showInputMessage="1" showErrorMessage="1" sqref="J129:O129 AB50 AD72:AE111 AB60 AB62 AB64 AB46 AB48 AB66 AB68 AB44 AB70 AB52 AB54 AB56 AB58 AB32 AB34 AB36 AB38 AB40 AB42" xr:uid="{A9FA0C61-2E21-4412-8EEE-250F6530D5B3}">
      <formula1>8760</formula1>
    </dataValidation>
    <dataValidation type="list" allowBlank="1" showInputMessage="1" showErrorMessage="1" sqref="C20:H20 C133:H133" xr:uid="{AF8D3807-AA31-4585-A8C3-CB3E0341C88A}">
      <formula1>"Yes,No"</formula1>
    </dataValidation>
    <dataValidation type="custom" allowBlank="1" showInputMessage="1" showErrorMessage="1" sqref="AL23:AQ23" xr:uid="{26317C2E-E80A-495D-9DD3-1A62D2EC95B0}">
      <formula1>AND(FIND(".",AL23),FIND("@",AL23))</formula1>
    </dataValidation>
    <dataValidation type="list" allowBlank="1" showInputMessage="1" showErrorMessage="1" sqref="D26:P27" xr:uid="{222AB460-AE74-4A37-8CB6-966FC871112D}">
      <formula1>INSTALLYN</formula1>
    </dataValidation>
    <dataValidation type="list" allowBlank="1" showInputMessage="1" showErrorMessage="1" sqref="N32 N34 N36 N38 N40 N42 N44 N46 N48 N50 N52 N54 N56 N58 N60 N62 N64 N66 N68 N70 P72:S111" xr:uid="{4438781D-5D67-44DF-A1F5-95E0502EBDCA}">
      <formula1>QUIKLEDDET</formula1>
    </dataValidation>
    <dataValidation type="decimal" operator="greaterThan" allowBlank="1" showInputMessage="1" showErrorMessage="1" sqref="L72:M111" xr:uid="{2D8A8057-4307-459F-B7D7-094C37C4A9E0}">
      <formula1>IF(OR(C72="Incandescent",C72="Halogen",C72="Exit Sign"),INDEX(CMELIGHTBASEW,MATCH(G72,CMELIGHTBASE1,0)),0)</formula1>
    </dataValidation>
    <dataValidation type="decimal" operator="lessThanOrEqual" allowBlank="1" showInputMessage="1" showErrorMessage="1" sqref="Z72:AA111" xr:uid="{7683D9C0-0D5A-4FA6-B12C-D834BD922C5B}">
      <formula1>IF(OR(C72="Incandescent",C72="Halogen",C72="Exit Sign"),INDEX(CMELIGHTBASEW,MATCH(G72,QUIKEFFW,0)),0)</formula1>
    </dataValidation>
    <dataValidation type="decimal" operator="greaterThan" allowBlank="1" showInputMessage="1" showErrorMessage="1" sqref="J52:K71" xr:uid="{73187E7C-BF35-47D4-AE49-A1F57B9700E9}">
      <formula1>IF(OR(C52="Incandescent",C52="Halogen",C52="Exit Sign"),INDEX(PMELIGHTINCANBASEMIN,MATCH(CONCATENATE(C52,"-",F52),PMELIGHTINCANVALID,0)),0)</formula1>
    </dataValidation>
    <dataValidation type="decimal" operator="lessThanOrEqual" allowBlank="1" showInputMessage="1" showErrorMessage="1" sqref="X52:Y71" xr:uid="{2796B1DA-8F6D-4654-88BC-E57EA0A28A87}">
      <formula1>IF(OR(C52="Incandescent",C52="Halogen",C52="Exit Sign"),INDEX(PMELIGHTINCANEFFMIN,MATCH(CONCATENATE(C52,"-",F52),PMELIGHTINCANVALID,0)),100000000)</formula1>
    </dataValidation>
    <dataValidation type="decimal" operator="lessThanOrEqual" allowBlank="1" showInputMessage="1" showErrorMessage="1" error="Wattage is outside the allowed range. Efficient exit signs must use 5 W or less" sqref="X32:Y51" xr:uid="{1035FCC3-43FF-4727-86B3-EED42FD1877D}">
      <formula1>IF(OR(C32="Incandescent",C32="Halogen",C32="Exit Sign"),INDEX(PMELIGHTINCANEFFMIN,MATCH(CONCATENATE(C32,"-",F32),PMELIGHTINCANVALID,0)),100000000)</formula1>
    </dataValidation>
    <dataValidation type="decimal" operator="lessThanOrEqual" allowBlank="1" showInputMessage="1" showErrorMessage="1" error="Wattage is outside the allowed range. Existing exit signs should be 50 W or less" sqref="J32:K51" xr:uid="{5D04098F-E130-403C-B6D2-996B8F37E0B6}">
      <formula1>IF(OR(C32="Incandescent",C32="Halogen",C32="Exit Sign"),INDEX(PMELIGHTINCANBASEMAX,MATCH(CONCATENATE(C32,"-",F32),PMELIGHTINCANVALID,0)),0)</formula1>
    </dataValidation>
  </dataValidations>
  <hyperlinks>
    <hyperlink ref="AT114" r:id="rId1" xr:uid="{9E193E27-5C1E-4FE5-9EA3-23DBCB2F0F28}"/>
  </hyperlinks>
  <pageMargins left="0.25" right="0.25" top="0.25" bottom="0.25" header="0.25" footer="0.25"/>
  <pageSetup scale="46" fitToHeight="0" orientation="landscape" r:id="rId2"/>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AS207"/>
  <sheetViews>
    <sheetView showGridLines="0" showRowColHeaders="0" showZeros="0" zoomScale="85" zoomScaleNormal="85" workbookViewId="0">
      <selection activeCell="L57" sqref="L57:U57"/>
    </sheetView>
  </sheetViews>
  <sheetFormatPr defaultColWidth="0" defaultRowHeight="15" customHeight="1" zeroHeight="1" x14ac:dyDescent="0.25"/>
  <cols>
    <col min="1" max="45" width="4.7109375" customWidth="1"/>
    <col min="46" max="16384" width="9.140625" hidden="1"/>
  </cols>
  <sheetData>
    <row r="1" spans="2:44" ht="15.95" customHeight="1" x14ac:dyDescent="0.25"/>
    <row r="2" spans="2:44" ht="15.95" customHeight="1" x14ac:dyDescent="0.25"/>
    <row r="3" spans="2:44" ht="15.95" customHeight="1" x14ac:dyDescent="0.25"/>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row r="10" spans="2:44" ht="15.95" customHeight="1" x14ac:dyDescent="0.25"/>
    <row r="11" spans="2:44" ht="15.95" customHeight="1" x14ac:dyDescent="0.25">
      <c r="B11" s="332"/>
      <c r="C11" s="736" t="str">
        <f>IF(AND(SUM('M01-S01'!AN32:AQ71)&gt;15000,ISNUMBER(SEARCH("YES, ",M02S02F44))),"Total Incentive (Capped)", "Total Incentive")</f>
        <v>Total Incentive</v>
      </c>
      <c r="D11" s="736"/>
      <c r="E11" s="736"/>
      <c r="F11" s="736"/>
      <c r="G11" s="736"/>
      <c r="H11" s="736"/>
      <c r="I11" s="736"/>
      <c r="J11" s="736"/>
      <c r="K11" s="332"/>
      <c r="L11" s="332"/>
      <c r="M11" s="332"/>
      <c r="N11" s="332"/>
      <c r="O11" s="332"/>
      <c r="P11" s="332"/>
      <c r="Q11" s="332"/>
      <c r="R11" s="332"/>
      <c r="S11" s="738" t="s">
        <v>723</v>
      </c>
      <c r="T11" s="738"/>
      <c r="U11" s="738"/>
      <c r="V11" s="738"/>
      <c r="W11" s="738"/>
      <c r="X11" s="738"/>
      <c r="Y11" s="738"/>
      <c r="Z11" s="738"/>
      <c r="AA11" s="332"/>
      <c r="AB11" s="332"/>
      <c r="AC11" s="332"/>
      <c r="AD11" s="332"/>
      <c r="AE11" s="332"/>
      <c r="AF11" s="332"/>
      <c r="AG11" s="332"/>
      <c r="AH11" s="332"/>
      <c r="AI11" s="736" t="s">
        <v>373</v>
      </c>
      <c r="AJ11" s="736"/>
      <c r="AK11" s="736"/>
      <c r="AL11" s="736"/>
      <c r="AM11" s="736"/>
      <c r="AN11" s="736"/>
      <c r="AO11" s="736"/>
      <c r="AP11" s="736"/>
      <c r="AQ11" s="736"/>
      <c r="AR11" s="332"/>
    </row>
    <row r="12" spans="2:44" ht="15.95" customHeight="1" x14ac:dyDescent="0.25">
      <c r="B12" s="332"/>
      <c r="C12" s="736"/>
      <c r="D12" s="736"/>
      <c r="E12" s="736"/>
      <c r="F12" s="736"/>
      <c r="G12" s="736"/>
      <c r="H12" s="736"/>
      <c r="I12" s="736"/>
      <c r="J12" s="736"/>
      <c r="K12" s="332"/>
      <c r="L12" s="332"/>
      <c r="M12" s="332"/>
      <c r="N12" s="332"/>
      <c r="O12" s="332"/>
      <c r="P12" s="332"/>
      <c r="Q12" s="332"/>
      <c r="R12" s="332"/>
      <c r="S12" s="738"/>
      <c r="T12" s="738"/>
      <c r="U12" s="738"/>
      <c r="V12" s="738"/>
      <c r="W12" s="738"/>
      <c r="X12" s="738"/>
      <c r="Y12" s="738"/>
      <c r="Z12" s="738"/>
      <c r="AA12" s="332"/>
      <c r="AB12" s="332"/>
      <c r="AC12" s="332"/>
      <c r="AD12" s="332"/>
      <c r="AE12" s="332"/>
      <c r="AF12" s="332"/>
      <c r="AG12" s="332"/>
      <c r="AH12" s="332"/>
      <c r="AI12" s="736"/>
      <c r="AJ12" s="736"/>
      <c r="AK12" s="736"/>
      <c r="AL12" s="736"/>
      <c r="AM12" s="736"/>
      <c r="AN12" s="736"/>
      <c r="AO12" s="736"/>
      <c r="AP12" s="736"/>
      <c r="AQ12" s="736"/>
      <c r="AR12" s="332"/>
    </row>
    <row r="13" spans="2:44" ht="15.95" customHeight="1" x14ac:dyDescent="0.25">
      <c r="B13" s="332"/>
      <c r="C13" s="753" t="str">
        <f>INCENSTATUS</f>
        <v>---</v>
      </c>
      <c r="D13" s="753"/>
      <c r="E13" s="753"/>
      <c r="F13" s="753"/>
      <c r="G13" s="753"/>
      <c r="H13" s="753"/>
      <c r="I13" s="753"/>
      <c r="J13" s="753"/>
      <c r="K13" s="332"/>
      <c r="L13" s="332"/>
      <c r="M13" s="332"/>
      <c r="N13" s="332"/>
      <c r="O13" s="332"/>
      <c r="P13" s="332"/>
      <c r="Q13" s="332"/>
      <c r="R13" s="332"/>
      <c r="S13" s="754" t="str">
        <f ca="1">PROJSTATUS</f>
        <v>Enter Measures</v>
      </c>
      <c r="T13" s="754"/>
      <c r="U13" s="754"/>
      <c r="V13" s="754"/>
      <c r="W13" s="754"/>
      <c r="X13" s="754"/>
      <c r="Y13" s="754"/>
      <c r="Z13" s="754"/>
      <c r="AA13" s="332"/>
      <c r="AB13" s="332"/>
      <c r="AC13" s="332"/>
      <c r="AD13" s="332"/>
      <c r="AE13" s="332"/>
      <c r="AF13" s="332"/>
      <c r="AG13" s="332"/>
      <c r="AH13" s="332"/>
      <c r="AI13" s="755">
        <f ca="1">PROGRESSSTATUS</f>
        <v>0</v>
      </c>
      <c r="AJ13" s="755"/>
      <c r="AK13" s="755"/>
      <c r="AL13" s="755"/>
      <c r="AM13" s="755"/>
      <c r="AN13" s="755"/>
      <c r="AO13" s="755"/>
      <c r="AP13" s="755"/>
      <c r="AQ13" s="755"/>
      <c r="AR13" s="332"/>
    </row>
    <row r="14" spans="2:44" ht="15.95" customHeight="1" x14ac:dyDescent="0.25">
      <c r="B14" s="332"/>
      <c r="C14" s="753"/>
      <c r="D14" s="753"/>
      <c r="E14" s="753"/>
      <c r="F14" s="753"/>
      <c r="G14" s="753"/>
      <c r="H14" s="753"/>
      <c r="I14" s="753"/>
      <c r="J14" s="753"/>
      <c r="K14" s="332"/>
      <c r="L14" s="332"/>
      <c r="M14" s="332"/>
      <c r="N14" s="332"/>
      <c r="O14" s="332"/>
      <c r="P14" s="332"/>
      <c r="Q14" s="332"/>
      <c r="R14" s="332"/>
      <c r="S14" s="754"/>
      <c r="T14" s="754"/>
      <c r="U14" s="754"/>
      <c r="V14" s="754"/>
      <c r="W14" s="754"/>
      <c r="X14" s="754"/>
      <c r="Y14" s="754"/>
      <c r="Z14" s="754"/>
      <c r="AA14" s="332"/>
      <c r="AB14" s="332"/>
      <c r="AC14" s="332"/>
      <c r="AD14" s="332"/>
      <c r="AE14" s="332"/>
      <c r="AF14" s="332"/>
      <c r="AG14" s="332"/>
      <c r="AH14" s="332"/>
      <c r="AI14" s="755"/>
      <c r="AJ14" s="755"/>
      <c r="AK14" s="755"/>
      <c r="AL14" s="755"/>
      <c r="AM14" s="755"/>
      <c r="AN14" s="755"/>
      <c r="AO14" s="755"/>
      <c r="AP14" s="755"/>
      <c r="AQ14" s="755"/>
      <c r="AR14" s="332"/>
    </row>
    <row r="15" spans="2:44" ht="15.95" customHeight="1" x14ac:dyDescent="0.25">
      <c r="B15" s="441"/>
      <c r="AR15" s="448"/>
    </row>
    <row r="16" spans="2:44" ht="15.95" customHeight="1" x14ac:dyDescent="0.25">
      <c r="B16" s="441"/>
      <c r="AR16" s="448"/>
    </row>
    <row r="17" spans="2:44" ht="15.95" customHeight="1" x14ac:dyDescent="0.3">
      <c r="B17" s="441"/>
      <c r="F17" s="538" t="s">
        <v>75</v>
      </c>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R17" s="448"/>
    </row>
    <row r="18" spans="2:44" ht="15.95" customHeight="1" x14ac:dyDescent="0.25">
      <c r="B18" s="441"/>
      <c r="C18" s="848"/>
      <c r="D18" s="848"/>
      <c r="F18" s="853" t="s">
        <v>1727</v>
      </c>
      <c r="G18" s="853"/>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853"/>
      <c r="AF18" s="853"/>
      <c r="AG18" s="853"/>
      <c r="AH18" s="853"/>
      <c r="AI18" s="853"/>
      <c r="AJ18" s="853"/>
      <c r="AK18" s="853"/>
      <c r="AL18" s="853"/>
      <c r="AM18" s="853"/>
      <c r="AN18" s="853"/>
      <c r="AR18" s="448"/>
    </row>
    <row r="19" spans="2:44" ht="15.95" customHeight="1" x14ac:dyDescent="0.25">
      <c r="B19" s="441"/>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R19" s="448"/>
    </row>
    <row r="20" spans="2:44" ht="15.95" customHeight="1" thickBot="1" x14ac:dyDescent="0.3">
      <c r="B20" s="441"/>
      <c r="F20" s="59"/>
      <c r="G20" s="59"/>
      <c r="H20" s="59"/>
      <c r="I20" s="108"/>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10"/>
      <c r="AL20" s="59"/>
      <c r="AM20" s="59"/>
      <c r="AN20" s="59"/>
      <c r="AR20" s="448"/>
    </row>
    <row r="21" spans="2:44" ht="15.95" customHeight="1" thickBot="1" x14ac:dyDescent="0.3">
      <c r="B21" s="441"/>
      <c r="I21" s="148"/>
      <c r="J21" s="375"/>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7"/>
      <c r="AK21" s="149"/>
      <c r="AR21" s="448"/>
    </row>
    <row r="22" spans="2:44" ht="15.95" customHeight="1" thickBot="1" x14ac:dyDescent="0.3">
      <c r="B22" s="441"/>
      <c r="C22" s="847"/>
      <c r="D22" s="847"/>
      <c r="I22" s="148"/>
      <c r="J22" s="378"/>
      <c r="K22" s="37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79"/>
      <c r="AK22" s="149"/>
      <c r="AR22" s="448"/>
    </row>
    <row r="23" spans="2:44" ht="15.95" customHeight="1" x14ac:dyDescent="0.25">
      <c r="B23" s="441"/>
      <c r="I23" s="148"/>
      <c r="J23" s="378"/>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79"/>
      <c r="AK23" s="149"/>
      <c r="AR23" s="448"/>
    </row>
    <row r="24" spans="2:44" ht="15.95" customHeight="1" x14ac:dyDescent="0.25">
      <c r="B24" s="441"/>
      <c r="I24" s="148"/>
      <c r="J24" s="378"/>
      <c r="K24" s="854" t="s">
        <v>1798</v>
      </c>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379"/>
      <c r="AK24" s="149"/>
      <c r="AR24" s="448"/>
    </row>
    <row r="25" spans="2:44" ht="15.95" customHeight="1" thickBot="1" x14ac:dyDescent="0.3">
      <c r="B25" s="441"/>
      <c r="I25" s="148"/>
      <c r="J25" s="380"/>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381"/>
      <c r="AK25" s="149"/>
      <c r="AR25" s="448"/>
    </row>
    <row r="26" spans="2:44" ht="15.95" customHeight="1" x14ac:dyDescent="0.25">
      <c r="B26" s="441"/>
      <c r="I26" s="148"/>
      <c r="J26" s="370"/>
      <c r="K26" s="871">
        <f>M02S02F47</f>
        <v>0</v>
      </c>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371"/>
      <c r="AK26" s="149"/>
      <c r="AR26" s="448"/>
    </row>
    <row r="27" spans="2:44" ht="15.95" customHeight="1" thickBot="1" x14ac:dyDescent="0.3">
      <c r="B27" s="441"/>
      <c r="I27" s="148"/>
      <c r="J27" s="3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373"/>
      <c r="AK27" s="149"/>
      <c r="AR27" s="448"/>
    </row>
    <row r="28" spans="2:44" ht="15.95" customHeight="1" x14ac:dyDescent="0.25">
      <c r="B28" s="441"/>
      <c r="I28" s="148"/>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149"/>
      <c r="AR28" s="448"/>
    </row>
    <row r="29" spans="2:44" ht="15.95" customHeight="1" x14ac:dyDescent="0.25">
      <c r="B29" s="441"/>
      <c r="I29" s="148"/>
      <c r="J29" s="453"/>
      <c r="K29" s="878" t="s">
        <v>80</v>
      </c>
      <c r="L29" s="878"/>
      <c r="M29" s="878"/>
      <c r="N29" s="878"/>
      <c r="O29" s="878"/>
      <c r="P29" s="873" t="s">
        <v>1053</v>
      </c>
      <c r="Q29" s="873"/>
      <c r="R29" s="873"/>
      <c r="S29" s="873"/>
      <c r="T29" s="873"/>
      <c r="U29" s="873"/>
      <c r="V29" s="873"/>
      <c r="W29" s="873" t="s">
        <v>1054</v>
      </c>
      <c r="X29" s="873"/>
      <c r="Y29" s="873"/>
      <c r="Z29" s="873"/>
      <c r="AA29" s="873"/>
      <c r="AB29" s="873"/>
      <c r="AC29" s="873"/>
      <c r="AD29" s="873"/>
      <c r="AE29" s="873"/>
      <c r="AF29" s="873"/>
      <c r="AG29" s="873"/>
      <c r="AH29" s="873"/>
      <c r="AI29" s="873"/>
      <c r="AJ29" s="873"/>
      <c r="AK29" s="149"/>
      <c r="AR29" s="448"/>
    </row>
    <row r="30" spans="2:44" ht="15.95" customHeight="1" x14ac:dyDescent="0.25">
      <c r="B30" s="441"/>
      <c r="I30" s="148"/>
      <c r="J30" s="453"/>
      <c r="K30" s="878"/>
      <c r="L30" s="878"/>
      <c r="M30" s="878"/>
      <c r="N30" s="878"/>
      <c r="O30" s="878"/>
      <c r="P30" s="852">
        <f>PROJID</f>
        <v>0</v>
      </c>
      <c r="Q30" s="852"/>
      <c r="R30" s="852"/>
      <c r="S30" s="852"/>
      <c r="T30" s="852"/>
      <c r="U30" s="852"/>
      <c r="V30" s="852"/>
      <c r="W30" s="852">
        <f>M02S02F47</f>
        <v>0</v>
      </c>
      <c r="X30" s="852"/>
      <c r="Y30" s="852"/>
      <c r="Z30" s="852"/>
      <c r="AA30" s="852"/>
      <c r="AB30" s="852"/>
      <c r="AC30" s="852"/>
      <c r="AD30" s="852"/>
      <c r="AE30" s="852"/>
      <c r="AF30" s="852"/>
      <c r="AG30" s="852"/>
      <c r="AH30" s="852"/>
      <c r="AI30" s="852"/>
      <c r="AJ30" s="852"/>
      <c r="AK30" s="149"/>
      <c r="AR30" s="448"/>
    </row>
    <row r="31" spans="2:44" ht="15.95" customHeight="1" x14ac:dyDescent="0.25">
      <c r="B31" s="441"/>
      <c r="I31" s="148"/>
      <c r="J31" s="453"/>
      <c r="K31" s="878"/>
      <c r="L31" s="878"/>
      <c r="M31" s="878"/>
      <c r="N31" s="878"/>
      <c r="O31" s="878"/>
      <c r="P31" s="852"/>
      <c r="Q31" s="852"/>
      <c r="R31" s="852"/>
      <c r="S31" s="852"/>
      <c r="T31" s="852"/>
      <c r="U31" s="852"/>
      <c r="V31" s="852"/>
      <c r="W31" s="852">
        <f>M02S02F22</f>
        <v>0</v>
      </c>
      <c r="X31" s="852"/>
      <c r="Y31" s="852"/>
      <c r="Z31" s="852"/>
      <c r="AA31" s="852"/>
      <c r="AB31" s="852"/>
      <c r="AC31" s="852"/>
      <c r="AD31" s="852"/>
      <c r="AE31" s="852"/>
      <c r="AF31" s="852"/>
      <c r="AG31" s="852"/>
      <c r="AH31" s="852"/>
      <c r="AI31" s="852"/>
      <c r="AJ31" s="852"/>
      <c r="AK31" s="149"/>
      <c r="AR31" s="448"/>
    </row>
    <row r="32" spans="2:44" ht="15.95" customHeight="1" x14ac:dyDescent="0.25">
      <c r="B32" s="441"/>
      <c r="I32" s="148"/>
      <c r="J32" s="453"/>
      <c r="K32" s="878"/>
      <c r="L32" s="878"/>
      <c r="M32" s="878"/>
      <c r="N32" s="878"/>
      <c r="O32" s="878"/>
      <c r="P32" s="852"/>
      <c r="Q32" s="852"/>
      <c r="R32" s="852"/>
      <c r="S32" s="852"/>
      <c r="T32" s="852"/>
      <c r="U32" s="852"/>
      <c r="V32" s="852"/>
      <c r="W32" s="852" t="str">
        <f>CONCATENATE(M02S02F23,", ",M02S02F24," ",M02S02F25)</f>
        <v xml:space="preserve">, MO </v>
      </c>
      <c r="X32" s="852"/>
      <c r="Y32" s="852"/>
      <c r="Z32" s="852"/>
      <c r="AA32" s="852"/>
      <c r="AB32" s="852"/>
      <c r="AC32" s="852"/>
      <c r="AD32" s="852"/>
      <c r="AE32" s="852"/>
      <c r="AF32" s="852"/>
      <c r="AG32" s="852"/>
      <c r="AH32" s="852"/>
      <c r="AI32" s="852"/>
      <c r="AJ32" s="852"/>
      <c r="AK32" s="149"/>
      <c r="AR32" s="448"/>
    </row>
    <row r="33" spans="2:44" ht="15.95" customHeight="1" x14ac:dyDescent="0.25">
      <c r="B33" s="441"/>
      <c r="I33" s="148"/>
      <c r="J33" s="453"/>
      <c r="K33" s="878"/>
      <c r="L33" s="878"/>
      <c r="M33" s="878"/>
      <c r="N33" s="878"/>
      <c r="O33" s="878"/>
      <c r="P33" s="852"/>
      <c r="Q33" s="852"/>
      <c r="R33" s="852"/>
      <c r="S33" s="852"/>
      <c r="T33" s="852"/>
      <c r="U33" s="852"/>
      <c r="V33" s="852"/>
      <c r="W33" s="852"/>
      <c r="X33" s="852"/>
      <c r="Y33" s="852"/>
      <c r="Z33" s="852"/>
      <c r="AA33" s="852"/>
      <c r="AB33" s="852"/>
      <c r="AC33" s="852"/>
      <c r="AD33" s="852"/>
      <c r="AE33" s="852"/>
      <c r="AF33" s="852"/>
      <c r="AG33" s="852"/>
      <c r="AH33" s="852"/>
      <c r="AI33" s="852"/>
      <c r="AJ33" s="852"/>
      <c r="AK33" s="149"/>
      <c r="AR33" s="448"/>
    </row>
    <row r="34" spans="2:44" ht="15.95" customHeight="1" x14ac:dyDescent="0.25">
      <c r="B34" s="441"/>
      <c r="I34" s="148"/>
      <c r="J34" s="453"/>
      <c r="K34" s="878"/>
      <c r="L34" s="878"/>
      <c r="M34" s="878"/>
      <c r="N34" s="878"/>
      <c r="O34" s="878"/>
      <c r="P34" s="873"/>
      <c r="Q34" s="873"/>
      <c r="R34" s="873"/>
      <c r="S34" s="873"/>
      <c r="T34" s="873"/>
      <c r="U34" s="873"/>
      <c r="V34" s="873"/>
      <c r="W34" s="873" t="s">
        <v>1590</v>
      </c>
      <c r="X34" s="873"/>
      <c r="Y34" s="873"/>
      <c r="Z34" s="873"/>
      <c r="AA34" s="873"/>
      <c r="AB34" s="873"/>
      <c r="AC34" s="873"/>
      <c r="AD34" s="873"/>
      <c r="AE34" s="873"/>
      <c r="AF34" s="873"/>
      <c r="AG34" s="873"/>
      <c r="AH34" s="873"/>
      <c r="AI34" s="873"/>
      <c r="AJ34" s="873"/>
      <c r="AK34" s="149"/>
      <c r="AR34" s="448"/>
    </row>
    <row r="35" spans="2:44" ht="15.95" customHeight="1" x14ac:dyDescent="0.25">
      <c r="B35" s="441"/>
      <c r="I35" s="148"/>
      <c r="J35" s="453"/>
      <c r="K35" s="878"/>
      <c r="L35" s="878"/>
      <c r="M35" s="878"/>
      <c r="N35" s="878"/>
      <c r="O35" s="878"/>
      <c r="P35" s="852"/>
      <c r="Q35" s="852"/>
      <c r="R35" s="852"/>
      <c r="S35" s="852"/>
      <c r="T35" s="852"/>
      <c r="U35" s="852"/>
      <c r="V35" s="852"/>
      <c r="W35" s="852" t="str">
        <f>CONCATENATE(M02S02F02," ",M02S02F03)</f>
        <v xml:space="preserve"> </v>
      </c>
      <c r="X35" s="852"/>
      <c r="Y35" s="852"/>
      <c r="Z35" s="852"/>
      <c r="AA35" s="852"/>
      <c r="AB35" s="852"/>
      <c r="AC35" s="852"/>
      <c r="AD35" s="852"/>
      <c r="AE35" s="852"/>
      <c r="AF35" s="852"/>
      <c r="AG35" s="852"/>
      <c r="AH35" s="852"/>
      <c r="AI35" s="852"/>
      <c r="AJ35" s="852"/>
      <c r="AK35" s="149"/>
      <c r="AR35" s="448"/>
    </row>
    <row r="36" spans="2:44" ht="15.95" customHeight="1" x14ac:dyDescent="0.25">
      <c r="B36" s="441"/>
      <c r="I36" s="148"/>
      <c r="J36" s="453"/>
      <c r="K36" s="878"/>
      <c r="L36" s="878"/>
      <c r="M36" s="878"/>
      <c r="N36" s="878"/>
      <c r="O36" s="878"/>
      <c r="P36" s="852"/>
      <c r="Q36" s="852"/>
      <c r="R36" s="852"/>
      <c r="S36" s="852"/>
      <c r="T36" s="852"/>
      <c r="U36" s="852"/>
      <c r="V36" s="852"/>
      <c r="W36" s="851">
        <f>M02S02F05</f>
        <v>0</v>
      </c>
      <c r="X36" s="851"/>
      <c r="Y36" s="851"/>
      <c r="Z36" s="851"/>
      <c r="AA36" s="851"/>
      <c r="AB36" s="851"/>
      <c r="AC36" s="851"/>
      <c r="AD36" s="851"/>
      <c r="AE36" s="851"/>
      <c r="AF36" s="851"/>
      <c r="AG36" s="851"/>
      <c r="AH36" s="851"/>
      <c r="AI36" s="851"/>
      <c r="AJ36" s="851"/>
      <c r="AK36" s="149"/>
      <c r="AR36" s="448"/>
    </row>
    <row r="37" spans="2:44" ht="15.95" customHeight="1" x14ac:dyDescent="0.25">
      <c r="B37" s="441"/>
      <c r="I37" s="148"/>
      <c r="J37" s="453"/>
      <c r="K37" s="454"/>
      <c r="L37" s="454"/>
      <c r="M37" s="454"/>
      <c r="N37" s="454"/>
      <c r="O37" s="454"/>
      <c r="P37" s="852"/>
      <c r="Q37" s="852"/>
      <c r="R37" s="852"/>
      <c r="S37" s="852"/>
      <c r="T37" s="852"/>
      <c r="U37" s="852"/>
      <c r="V37" s="852"/>
      <c r="W37" s="852">
        <f>M02S02F07</f>
        <v>0</v>
      </c>
      <c r="X37" s="852"/>
      <c r="Y37" s="852"/>
      <c r="Z37" s="852"/>
      <c r="AA37" s="852"/>
      <c r="AB37" s="852"/>
      <c r="AC37" s="852"/>
      <c r="AD37" s="852"/>
      <c r="AE37" s="852"/>
      <c r="AF37" s="852"/>
      <c r="AG37" s="852"/>
      <c r="AH37" s="852"/>
      <c r="AI37" s="852"/>
      <c r="AJ37" s="852"/>
      <c r="AK37" s="149"/>
      <c r="AR37" s="448"/>
    </row>
    <row r="38" spans="2:44" ht="15.95" customHeight="1" x14ac:dyDescent="0.25">
      <c r="B38" s="441"/>
      <c r="I38" s="148"/>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149"/>
      <c r="AR38" s="448"/>
    </row>
    <row r="39" spans="2:44" ht="15.95" customHeight="1" x14ac:dyDescent="0.25">
      <c r="B39" s="441"/>
      <c r="I39" s="148"/>
      <c r="J39" s="403"/>
      <c r="K39" s="870" t="s">
        <v>1741</v>
      </c>
      <c r="L39" s="870"/>
      <c r="M39" s="870"/>
      <c r="N39" s="870"/>
      <c r="O39" s="870"/>
      <c r="P39" s="849" t="s">
        <v>85</v>
      </c>
      <c r="Q39" s="849"/>
      <c r="R39" s="849"/>
      <c r="S39" s="849"/>
      <c r="T39" s="849"/>
      <c r="U39" s="849"/>
      <c r="V39" s="849"/>
      <c r="W39" s="849" t="s">
        <v>81</v>
      </c>
      <c r="X39" s="849"/>
      <c r="Y39" s="849"/>
      <c r="Z39" s="849"/>
      <c r="AA39" s="849"/>
      <c r="AB39" s="849"/>
      <c r="AC39" s="849"/>
      <c r="AD39" s="849"/>
      <c r="AE39" s="849"/>
      <c r="AF39" s="849"/>
      <c r="AG39" s="849"/>
      <c r="AH39" s="849"/>
      <c r="AI39" s="849"/>
      <c r="AJ39" s="849"/>
      <c r="AK39" s="149"/>
      <c r="AR39" s="448"/>
    </row>
    <row r="40" spans="2:44" ht="15.95" customHeight="1" x14ac:dyDescent="0.25">
      <c r="B40" s="441"/>
      <c r="I40" s="148"/>
      <c r="J40" s="403"/>
      <c r="K40" s="870"/>
      <c r="L40" s="870"/>
      <c r="M40" s="870"/>
      <c r="N40" s="870"/>
      <c r="O40" s="870"/>
      <c r="P40" s="850">
        <f>M02S03F02</f>
        <v>0</v>
      </c>
      <c r="Q40" s="850"/>
      <c r="R40" s="850"/>
      <c r="S40" s="850"/>
      <c r="T40" s="850"/>
      <c r="U40" s="850"/>
      <c r="V40" s="850"/>
      <c r="W40" s="850" t="str">
        <f>CONCATENATE(M02S03F03," ",M02S03F04)</f>
        <v xml:space="preserve"> </v>
      </c>
      <c r="X40" s="850"/>
      <c r="Y40" s="850"/>
      <c r="Z40" s="850"/>
      <c r="AA40" s="850"/>
      <c r="AB40" s="850"/>
      <c r="AC40" s="850"/>
      <c r="AD40" s="850"/>
      <c r="AE40" s="850"/>
      <c r="AF40" s="850"/>
      <c r="AG40" s="850"/>
      <c r="AH40" s="850"/>
      <c r="AI40" s="850"/>
      <c r="AJ40" s="850"/>
      <c r="AK40" s="149"/>
      <c r="AR40" s="448"/>
    </row>
    <row r="41" spans="2:44" ht="15.95" customHeight="1" x14ac:dyDescent="0.25">
      <c r="B41" s="441"/>
      <c r="I41" s="148"/>
      <c r="J41" s="403"/>
      <c r="K41" s="870"/>
      <c r="L41" s="870"/>
      <c r="M41" s="870"/>
      <c r="N41" s="870"/>
      <c r="O41" s="870"/>
      <c r="P41" s="850"/>
      <c r="Q41" s="850"/>
      <c r="R41" s="850"/>
      <c r="S41" s="850"/>
      <c r="T41" s="850"/>
      <c r="U41" s="850"/>
      <c r="V41" s="850"/>
      <c r="W41" s="868">
        <f>M02S03F06</f>
        <v>0</v>
      </c>
      <c r="X41" s="868"/>
      <c r="Y41" s="868"/>
      <c r="Z41" s="868"/>
      <c r="AA41" s="868"/>
      <c r="AB41" s="868"/>
      <c r="AC41" s="868"/>
      <c r="AD41" s="850"/>
      <c r="AE41" s="850"/>
      <c r="AF41" s="850"/>
      <c r="AG41" s="850"/>
      <c r="AH41" s="850"/>
      <c r="AI41" s="850"/>
      <c r="AJ41" s="850"/>
      <c r="AK41" s="149"/>
      <c r="AR41" s="448"/>
    </row>
    <row r="42" spans="2:44" ht="15.95" customHeight="1" x14ac:dyDescent="0.25">
      <c r="B42" s="441"/>
      <c r="I42" s="148"/>
      <c r="J42" s="403"/>
      <c r="K42" s="870"/>
      <c r="L42" s="870"/>
      <c r="M42" s="870"/>
      <c r="N42" s="870"/>
      <c r="O42" s="870"/>
      <c r="P42" s="850"/>
      <c r="Q42" s="850"/>
      <c r="R42" s="850"/>
      <c r="S42" s="850"/>
      <c r="T42" s="850"/>
      <c r="U42" s="850"/>
      <c r="V42" s="850"/>
      <c r="W42" s="850">
        <f>M02S03F08</f>
        <v>0</v>
      </c>
      <c r="X42" s="850"/>
      <c r="Y42" s="850"/>
      <c r="Z42" s="850"/>
      <c r="AA42" s="850"/>
      <c r="AB42" s="850"/>
      <c r="AC42" s="850"/>
      <c r="AD42" s="850"/>
      <c r="AE42" s="850"/>
      <c r="AF42" s="850"/>
      <c r="AG42" s="850"/>
      <c r="AH42" s="850"/>
      <c r="AI42" s="850"/>
      <c r="AJ42" s="850"/>
      <c r="AK42" s="149"/>
      <c r="AR42" s="448"/>
    </row>
    <row r="43" spans="2:44" ht="15.95" customHeight="1" x14ac:dyDescent="0.25">
      <c r="B43" s="441"/>
      <c r="I43" s="148"/>
      <c r="J43" s="403"/>
      <c r="K43" s="870"/>
      <c r="L43" s="870"/>
      <c r="M43" s="870"/>
      <c r="N43" s="870"/>
      <c r="O43" s="870"/>
      <c r="P43" s="850"/>
      <c r="Q43" s="850"/>
      <c r="R43" s="850"/>
      <c r="S43" s="850"/>
      <c r="T43" s="850"/>
      <c r="U43" s="850"/>
      <c r="V43" s="850"/>
      <c r="W43" s="850"/>
      <c r="X43" s="850"/>
      <c r="Y43" s="850"/>
      <c r="Z43" s="850"/>
      <c r="AA43" s="850"/>
      <c r="AB43" s="850"/>
      <c r="AC43" s="850"/>
      <c r="AD43" s="850"/>
      <c r="AE43" s="850"/>
      <c r="AF43" s="850"/>
      <c r="AG43" s="850"/>
      <c r="AH43" s="850"/>
      <c r="AI43" s="850"/>
      <c r="AJ43" s="850"/>
      <c r="AK43" s="149"/>
      <c r="AR43" s="448"/>
    </row>
    <row r="44" spans="2:44" ht="15.95" customHeight="1" thickBot="1" x14ac:dyDescent="0.3">
      <c r="B44" s="441"/>
      <c r="I44" s="148"/>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149"/>
      <c r="AR44" s="448"/>
    </row>
    <row r="45" spans="2:44" ht="15.95" customHeight="1" x14ac:dyDescent="0.25">
      <c r="B45" s="441"/>
      <c r="I45" s="148"/>
      <c r="J45" s="395"/>
      <c r="K45" s="874" t="s">
        <v>1055</v>
      </c>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5"/>
      <c r="AK45" s="149"/>
      <c r="AR45" s="448"/>
    </row>
    <row r="46" spans="2:44" ht="15.95" customHeight="1" thickBot="1" x14ac:dyDescent="0.3">
      <c r="B46" s="441"/>
      <c r="I46" s="148"/>
      <c r="J46" s="396"/>
      <c r="K46" s="876"/>
      <c r="L46" s="876"/>
      <c r="M46" s="876"/>
      <c r="N46" s="876"/>
      <c r="O46" s="876"/>
      <c r="P46" s="876"/>
      <c r="Q46" s="876"/>
      <c r="R46" s="876"/>
      <c r="S46" s="876"/>
      <c r="T46" s="876"/>
      <c r="U46" s="876"/>
      <c r="V46" s="876"/>
      <c r="W46" s="876"/>
      <c r="X46" s="876"/>
      <c r="Y46" s="876"/>
      <c r="Z46" s="876"/>
      <c r="AA46" s="876"/>
      <c r="AB46" s="876"/>
      <c r="AC46" s="876"/>
      <c r="AD46" s="876"/>
      <c r="AE46" s="876"/>
      <c r="AF46" s="876"/>
      <c r="AG46" s="876"/>
      <c r="AH46" s="876"/>
      <c r="AI46" s="876"/>
      <c r="AJ46" s="877"/>
      <c r="AK46" s="149"/>
      <c r="AR46" s="448"/>
    </row>
    <row r="47" spans="2:44" ht="15.95" customHeight="1" x14ac:dyDescent="0.25">
      <c r="B47" s="441"/>
      <c r="I47" s="148"/>
      <c r="J47" s="382"/>
      <c r="L47" s="383"/>
      <c r="M47" s="383"/>
      <c r="N47" s="383"/>
      <c r="O47" s="383"/>
      <c r="P47" s="384"/>
      <c r="Q47" s="383"/>
      <c r="R47" s="383"/>
      <c r="S47" s="383"/>
      <c r="T47" s="383"/>
      <c r="U47" s="383"/>
      <c r="V47" s="383"/>
      <c r="X47" s="383"/>
      <c r="Y47" s="383"/>
      <c r="Z47" s="383"/>
      <c r="AA47" s="383"/>
      <c r="AB47" s="383"/>
      <c r="AC47" s="383"/>
      <c r="AE47" s="383"/>
      <c r="AF47" s="383"/>
      <c r="AG47" s="383"/>
      <c r="AH47" s="383"/>
      <c r="AI47" s="383"/>
      <c r="AJ47" s="385"/>
      <c r="AK47" s="149"/>
      <c r="AR47" s="448"/>
    </row>
    <row r="48" spans="2:44" ht="15.95" customHeight="1" x14ac:dyDescent="0.25">
      <c r="B48" s="441"/>
      <c r="I48" s="148"/>
      <c r="J48" s="386"/>
      <c r="K48" s="882" t="s">
        <v>1799</v>
      </c>
      <c r="L48" s="882"/>
      <c r="M48" s="882"/>
      <c r="N48" s="882"/>
      <c r="O48" s="882"/>
      <c r="P48" s="882"/>
      <c r="Q48" s="387"/>
      <c r="R48" s="387"/>
      <c r="S48" s="387"/>
      <c r="T48" s="882" t="s">
        <v>1057</v>
      </c>
      <c r="U48" s="882"/>
      <c r="V48" s="882"/>
      <c r="W48" s="882"/>
      <c r="X48" s="882"/>
      <c r="Y48" s="882"/>
      <c r="Z48" s="882"/>
      <c r="AA48" s="882"/>
      <c r="AB48" s="388"/>
      <c r="AC48" s="388"/>
      <c r="AD48" s="882" t="s">
        <v>79</v>
      </c>
      <c r="AE48" s="882"/>
      <c r="AF48" s="882"/>
      <c r="AG48" s="882"/>
      <c r="AH48" s="882"/>
      <c r="AI48" s="882"/>
      <c r="AJ48" s="389"/>
      <c r="AK48" s="149"/>
      <c r="AR48" s="448"/>
    </row>
    <row r="49" spans="2:44" ht="15.95" customHeight="1" x14ac:dyDescent="0.25">
      <c r="B49" s="441"/>
      <c r="I49" s="148"/>
      <c r="J49" s="386"/>
      <c r="K49" s="882"/>
      <c r="L49" s="882"/>
      <c r="M49" s="882"/>
      <c r="N49" s="882"/>
      <c r="O49" s="882"/>
      <c r="P49" s="882"/>
      <c r="Q49" s="387"/>
      <c r="R49" s="387"/>
      <c r="S49" s="387"/>
      <c r="T49" s="882"/>
      <c r="U49" s="882"/>
      <c r="V49" s="882"/>
      <c r="W49" s="882"/>
      <c r="X49" s="882"/>
      <c r="Y49" s="882"/>
      <c r="Z49" s="882"/>
      <c r="AA49" s="882"/>
      <c r="AB49" s="388"/>
      <c r="AC49" s="388"/>
      <c r="AD49" s="882">
        <f>INCENTOTALCUSE</f>
        <v>0</v>
      </c>
      <c r="AE49" s="882"/>
      <c r="AF49" s="882"/>
      <c r="AG49" s="882"/>
      <c r="AH49" s="882"/>
      <c r="AI49" s="882"/>
      <c r="AJ49" s="389"/>
      <c r="AK49" s="149"/>
      <c r="AR49" s="448"/>
    </row>
    <row r="50" spans="2:44" ht="15.95" customHeight="1" x14ac:dyDescent="0.25">
      <c r="B50" s="441"/>
      <c r="I50" s="148"/>
      <c r="J50" s="386"/>
      <c r="K50" s="881">
        <f>KWHTOTALALL</f>
        <v>0</v>
      </c>
      <c r="L50" s="881"/>
      <c r="M50" s="881"/>
      <c r="N50" s="881"/>
      <c r="O50" s="881"/>
      <c r="P50" s="881"/>
      <c r="Q50" s="390"/>
      <c r="R50" s="390"/>
      <c r="S50" s="390"/>
      <c r="T50" s="883">
        <f>COSTTOTALALL</f>
        <v>0</v>
      </c>
      <c r="U50" s="883"/>
      <c r="V50" s="883"/>
      <c r="W50" s="883"/>
      <c r="X50" s="883"/>
      <c r="Y50" s="883"/>
      <c r="Z50" s="883"/>
      <c r="AA50" s="883"/>
      <c r="AB50" s="391"/>
      <c r="AC50" s="391"/>
      <c r="AD50" s="883" t="str">
        <f>INCENSTATUS</f>
        <v>---</v>
      </c>
      <c r="AE50" s="883"/>
      <c r="AF50" s="883"/>
      <c r="AG50" s="883"/>
      <c r="AH50" s="883"/>
      <c r="AI50" s="883"/>
      <c r="AJ50" s="392"/>
      <c r="AK50" s="149"/>
      <c r="AR50" s="448"/>
    </row>
    <row r="51" spans="2:44" ht="15.95" customHeight="1" x14ac:dyDescent="0.25">
      <c r="B51" s="441"/>
      <c r="I51" s="148"/>
      <c r="J51" s="386"/>
      <c r="K51" s="881"/>
      <c r="L51" s="881"/>
      <c r="M51" s="881"/>
      <c r="N51" s="881"/>
      <c r="O51" s="881"/>
      <c r="P51" s="881"/>
      <c r="Q51" s="390"/>
      <c r="R51" s="390"/>
      <c r="T51" s="883"/>
      <c r="U51" s="883"/>
      <c r="V51" s="883"/>
      <c r="W51" s="883"/>
      <c r="X51" s="883"/>
      <c r="Y51" s="883"/>
      <c r="Z51" s="883"/>
      <c r="AA51" s="883"/>
      <c r="AB51" s="391"/>
      <c r="AC51" s="391"/>
      <c r="AD51" s="883"/>
      <c r="AE51" s="883"/>
      <c r="AF51" s="883"/>
      <c r="AG51" s="883"/>
      <c r="AH51" s="883"/>
      <c r="AI51" s="883"/>
      <c r="AJ51" s="392"/>
      <c r="AK51" s="149"/>
      <c r="AR51" s="448"/>
    </row>
    <row r="52" spans="2:44" ht="15.95" customHeight="1" thickBot="1" x14ac:dyDescent="0.3">
      <c r="B52" s="441"/>
      <c r="I52" s="148"/>
      <c r="J52" s="393"/>
      <c r="K52" s="397"/>
      <c r="L52" s="397"/>
      <c r="M52" s="397"/>
      <c r="N52" s="397"/>
      <c r="O52" s="397"/>
      <c r="P52" s="398"/>
      <c r="Q52" s="398"/>
      <c r="R52" s="398"/>
      <c r="S52" s="399"/>
      <c r="T52" s="399"/>
      <c r="U52" s="399"/>
      <c r="V52" s="399"/>
      <c r="W52" s="399"/>
      <c r="X52" s="399"/>
      <c r="Y52" s="400"/>
      <c r="Z52" s="400"/>
      <c r="AA52" s="400"/>
      <c r="AB52" s="400"/>
      <c r="AC52" s="400"/>
      <c r="AD52" s="400"/>
      <c r="AE52" s="400"/>
      <c r="AF52" s="400"/>
      <c r="AG52" s="400"/>
      <c r="AH52" s="400"/>
      <c r="AI52" s="400"/>
      <c r="AJ52" s="394"/>
      <c r="AK52" s="149"/>
      <c r="AR52" s="448"/>
    </row>
    <row r="53" spans="2:44" ht="15.95" customHeight="1" x14ac:dyDescent="0.25">
      <c r="B53" s="441"/>
      <c r="I53" s="148"/>
      <c r="J53" s="401"/>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149"/>
      <c r="AR53" s="448"/>
    </row>
    <row r="54" spans="2:44" ht="15.95" customHeight="1" x14ac:dyDescent="0.25">
      <c r="B54" s="441"/>
      <c r="I54" s="148"/>
      <c r="J54" s="403"/>
      <c r="K54" s="869" t="s">
        <v>1072</v>
      </c>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149"/>
      <c r="AR54" s="448"/>
    </row>
    <row r="55" spans="2:44" ht="15.95" customHeight="1" x14ac:dyDescent="0.25">
      <c r="B55" s="441"/>
      <c r="I55" s="148"/>
      <c r="J55" s="403"/>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149"/>
      <c r="AR55" s="448"/>
    </row>
    <row r="56" spans="2:44" ht="15.95" customHeight="1" x14ac:dyDescent="0.25">
      <c r="B56" s="441"/>
      <c r="I56" s="148"/>
      <c r="J56" s="403"/>
      <c r="K56" s="403"/>
      <c r="L56" s="433" t="s">
        <v>1056</v>
      </c>
      <c r="M56" s="434"/>
      <c r="N56" s="434"/>
      <c r="O56" s="434"/>
      <c r="P56" s="434"/>
      <c r="Q56" s="434"/>
      <c r="R56" s="434"/>
      <c r="S56" s="434"/>
      <c r="T56" s="434"/>
      <c r="U56" s="434"/>
      <c r="V56" s="433" t="s">
        <v>77</v>
      </c>
      <c r="W56" s="434"/>
      <c r="X56" s="434"/>
      <c r="Y56" s="434"/>
      <c r="Z56" s="434"/>
      <c r="AA56" s="434"/>
      <c r="AB56" s="434"/>
      <c r="AC56" s="434"/>
      <c r="AD56" s="434"/>
      <c r="AE56" s="433" t="s">
        <v>87</v>
      </c>
      <c r="AF56" s="434"/>
      <c r="AG56" s="434"/>
      <c r="AH56" s="434"/>
      <c r="AI56" s="434"/>
      <c r="AJ56" s="434"/>
      <c r="AK56" s="149"/>
      <c r="AR56" s="448"/>
    </row>
    <row r="57" spans="2:44" ht="15.95" customHeight="1" x14ac:dyDescent="0.25">
      <c r="B57" s="441"/>
      <c r="I57" s="148"/>
      <c r="J57" s="880" t="str">
        <f ca="1">IF(CELL("protect",L57)=1,"eSignature Signed","")</f>
        <v/>
      </c>
      <c r="K57" s="880"/>
      <c r="L57" s="866" t="s">
        <v>1118</v>
      </c>
      <c r="M57" s="866"/>
      <c r="N57" s="866"/>
      <c r="O57" s="866"/>
      <c r="P57" s="866"/>
      <c r="Q57" s="866"/>
      <c r="R57" s="866"/>
      <c r="S57" s="866"/>
      <c r="T57" s="866"/>
      <c r="U57" s="866"/>
      <c r="V57" s="867" t="str">
        <f>IF(L57="","",L57)</f>
        <v>Frederick M. Schreiber</v>
      </c>
      <c r="W57" s="867"/>
      <c r="X57" s="867"/>
      <c r="Y57" s="867"/>
      <c r="Z57" s="867"/>
      <c r="AA57" s="867"/>
      <c r="AB57" s="867"/>
      <c r="AC57" s="867"/>
      <c r="AD57" s="867"/>
      <c r="AE57" s="879"/>
      <c r="AF57" s="879"/>
      <c r="AG57" s="879"/>
      <c r="AH57" s="879"/>
      <c r="AI57" s="879"/>
      <c r="AJ57" s="879"/>
      <c r="AK57" s="149"/>
      <c r="AR57" s="448"/>
    </row>
    <row r="58" spans="2:44" ht="15.95" customHeight="1" x14ac:dyDescent="0.25">
      <c r="B58" s="441"/>
      <c r="I58" s="148"/>
      <c r="J58" s="880"/>
      <c r="K58" s="880"/>
      <c r="L58" s="434"/>
      <c r="M58" s="434"/>
      <c r="N58" s="434"/>
      <c r="O58" s="434"/>
      <c r="P58" s="434"/>
      <c r="Q58" s="434"/>
      <c r="R58" s="434"/>
      <c r="S58" s="434"/>
      <c r="T58" s="434"/>
      <c r="U58" s="434"/>
      <c r="V58" s="434"/>
      <c r="W58" s="434"/>
      <c r="X58" s="434"/>
      <c r="Y58" s="434"/>
      <c r="Z58" s="434"/>
      <c r="AA58" s="434"/>
      <c r="AB58" s="434"/>
      <c r="AC58" s="434"/>
      <c r="AD58" s="434"/>
      <c r="AE58" s="434"/>
      <c r="AF58" s="434"/>
      <c r="AG58" s="434"/>
      <c r="AH58" s="434"/>
      <c r="AI58" s="434"/>
      <c r="AJ58" s="434"/>
      <c r="AK58" s="149"/>
      <c r="AR58" s="448"/>
    </row>
    <row r="59" spans="2:44" ht="15.95" customHeight="1" x14ac:dyDescent="0.25">
      <c r="B59" s="441"/>
      <c r="I59" s="148"/>
      <c r="J59" s="856" t="s">
        <v>1726</v>
      </c>
      <c r="K59" s="856"/>
      <c r="L59" s="856"/>
      <c r="M59" s="856"/>
      <c r="N59" s="856"/>
      <c r="O59" s="856"/>
      <c r="P59" s="856"/>
      <c r="Q59" s="856"/>
      <c r="R59" s="856"/>
      <c r="S59" s="856"/>
      <c r="T59" s="856"/>
      <c r="U59" s="856"/>
      <c r="V59" s="856"/>
      <c r="W59" s="856"/>
      <c r="X59" s="856"/>
      <c r="Y59" s="856"/>
      <c r="Z59" s="856"/>
      <c r="AA59" s="856"/>
      <c r="AB59" s="856"/>
      <c r="AC59" s="856"/>
      <c r="AD59" s="856"/>
      <c r="AE59" s="856"/>
      <c r="AF59" s="856"/>
      <c r="AG59" s="856"/>
      <c r="AH59" s="856"/>
      <c r="AI59" s="856"/>
      <c r="AJ59" s="856"/>
      <c r="AK59" s="149"/>
      <c r="AR59" s="448"/>
    </row>
    <row r="60" spans="2:44" ht="15.95" customHeight="1" x14ac:dyDescent="0.25">
      <c r="B60" s="441"/>
      <c r="I60" s="148"/>
      <c r="J60" s="856"/>
      <c r="K60" s="856"/>
      <c r="L60" s="856"/>
      <c r="M60" s="856"/>
      <c r="N60" s="856"/>
      <c r="O60" s="856"/>
      <c r="P60" s="856"/>
      <c r="Q60" s="856"/>
      <c r="R60" s="856"/>
      <c r="S60" s="856"/>
      <c r="T60" s="856"/>
      <c r="U60" s="856"/>
      <c r="V60" s="856"/>
      <c r="W60" s="856"/>
      <c r="X60" s="856"/>
      <c r="Y60" s="856"/>
      <c r="Z60" s="856"/>
      <c r="AA60" s="856"/>
      <c r="AB60" s="856"/>
      <c r="AC60" s="856"/>
      <c r="AD60" s="856"/>
      <c r="AE60" s="856"/>
      <c r="AF60" s="856"/>
      <c r="AG60" s="856"/>
      <c r="AH60" s="856"/>
      <c r="AI60" s="856"/>
      <c r="AJ60" s="856"/>
      <c r="AK60" s="149"/>
      <c r="AR60" s="448"/>
    </row>
    <row r="61" spans="2:44" ht="15.95" customHeight="1" x14ac:dyDescent="0.25">
      <c r="B61" s="441"/>
      <c r="I61" s="148"/>
      <c r="K61" s="863" t="str">
        <f>IF(M02S02F43="","&lt;RECFR Date&gt;",M02S02F43)</f>
        <v>&lt;RECFR Date&gt;</v>
      </c>
      <c r="L61" s="863"/>
      <c r="M61" s="863"/>
      <c r="N61" s="863"/>
      <c r="O61" s="863"/>
      <c r="P61" s="863"/>
      <c r="Q61" s="863"/>
      <c r="R61" s="323"/>
      <c r="AB61" s="323"/>
      <c r="AC61" s="863" t="s">
        <v>1732</v>
      </c>
      <c r="AD61" s="863"/>
      <c r="AE61" s="863"/>
      <c r="AF61" s="863"/>
      <c r="AG61" s="863"/>
      <c r="AH61" s="863"/>
      <c r="AI61" s="863"/>
      <c r="AJ61" s="323"/>
      <c r="AK61" s="149"/>
      <c r="AR61" s="448"/>
    </row>
    <row r="62" spans="2:44" ht="15.95" customHeight="1" x14ac:dyDescent="0.25">
      <c r="B62" s="441"/>
      <c r="I62" s="148"/>
      <c r="J62" s="323"/>
      <c r="K62" s="864"/>
      <c r="L62" s="864"/>
      <c r="M62" s="864"/>
      <c r="N62" s="864"/>
      <c r="O62" s="864"/>
      <c r="P62" s="864"/>
      <c r="Q62" s="864"/>
      <c r="R62" s="323"/>
      <c r="AB62" s="323"/>
      <c r="AC62" s="864"/>
      <c r="AD62" s="864"/>
      <c r="AE62" s="864"/>
      <c r="AF62" s="864"/>
      <c r="AG62" s="864"/>
      <c r="AH62" s="864"/>
      <c r="AI62" s="864"/>
      <c r="AJ62" s="323"/>
      <c r="AK62" s="149"/>
      <c r="AR62" s="448"/>
    </row>
    <row r="63" spans="2:44" ht="15.95" customHeight="1" x14ac:dyDescent="0.25">
      <c r="B63" s="441"/>
      <c r="I63" s="148"/>
      <c r="J63" s="652" t="s">
        <v>1731</v>
      </c>
      <c r="K63" s="652"/>
      <c r="L63" s="652"/>
      <c r="M63" s="652"/>
      <c r="N63" s="652"/>
      <c r="O63" s="652"/>
      <c r="P63" s="652"/>
      <c r="Q63" s="652"/>
      <c r="R63" s="652"/>
      <c r="AB63" s="859" t="s">
        <v>1733</v>
      </c>
      <c r="AC63" s="859"/>
      <c r="AD63" s="859"/>
      <c r="AE63" s="859"/>
      <c r="AF63" s="859"/>
      <c r="AG63" s="859"/>
      <c r="AH63" s="859"/>
      <c r="AI63" s="859"/>
      <c r="AJ63" s="859"/>
      <c r="AK63" s="149"/>
      <c r="AR63" s="448"/>
    </row>
    <row r="64" spans="2:44" ht="15.95" customHeight="1" x14ac:dyDescent="0.25">
      <c r="B64" s="441"/>
      <c r="I64" s="148"/>
      <c r="J64" s="652"/>
      <c r="K64" s="652"/>
      <c r="L64" s="652"/>
      <c r="M64" s="652"/>
      <c r="N64" s="652"/>
      <c r="O64" s="652"/>
      <c r="P64" s="652"/>
      <c r="Q64" s="652"/>
      <c r="R64" s="652"/>
      <c r="AB64" s="859"/>
      <c r="AC64" s="859"/>
      <c r="AD64" s="859"/>
      <c r="AE64" s="859"/>
      <c r="AF64" s="859"/>
      <c r="AG64" s="859"/>
      <c r="AH64" s="859"/>
      <c r="AI64" s="859"/>
      <c r="AJ64" s="859"/>
      <c r="AK64" s="149"/>
      <c r="AR64" s="448"/>
    </row>
    <row r="65" spans="2:44" ht="15.95" customHeight="1" x14ac:dyDescent="0.25">
      <c r="B65" s="441"/>
      <c r="I65" s="148"/>
      <c r="J65" s="652"/>
      <c r="K65" s="652"/>
      <c r="L65" s="652"/>
      <c r="M65" s="652"/>
      <c r="N65" s="652"/>
      <c r="O65" s="652"/>
      <c r="P65" s="652"/>
      <c r="Q65" s="652"/>
      <c r="R65" s="652"/>
      <c r="AB65" s="323"/>
      <c r="AC65" s="323"/>
      <c r="AD65" s="323"/>
      <c r="AE65" s="323"/>
      <c r="AF65" s="323"/>
      <c r="AG65" s="323"/>
      <c r="AK65" s="149"/>
      <c r="AR65" s="448"/>
    </row>
    <row r="66" spans="2:44" ht="15.95" customHeight="1" x14ac:dyDescent="0.25">
      <c r="B66" s="441"/>
      <c r="I66" s="148"/>
      <c r="N66" s="323"/>
      <c r="O66" s="323"/>
      <c r="P66" s="323"/>
      <c r="Q66" s="323"/>
      <c r="R66" s="323"/>
      <c r="S66" s="326"/>
      <c r="T66" s="326"/>
      <c r="U66" s="326"/>
      <c r="V66" s="326"/>
      <c r="W66" s="326"/>
      <c r="X66" s="326"/>
      <c r="Y66" s="326"/>
      <c r="Z66" s="326"/>
      <c r="AA66" s="326"/>
      <c r="AB66" s="323"/>
      <c r="AC66" s="323"/>
      <c r="AD66" s="323"/>
      <c r="AE66" s="323"/>
      <c r="AF66" s="323"/>
      <c r="AG66" s="323"/>
      <c r="AH66" s="322"/>
      <c r="AI66" s="322"/>
      <c r="AJ66" s="322"/>
      <c r="AK66" s="149"/>
      <c r="AR66" s="448"/>
    </row>
    <row r="67" spans="2:44" ht="15.95" customHeight="1" x14ac:dyDescent="0.25">
      <c r="B67" s="441"/>
      <c r="I67" s="148"/>
      <c r="J67" s="172"/>
      <c r="K67" s="860" t="s">
        <v>1116</v>
      </c>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149"/>
      <c r="AR67" s="448"/>
    </row>
    <row r="68" spans="2:44" ht="15.95" customHeight="1" x14ac:dyDescent="0.25">
      <c r="B68" s="441"/>
      <c r="I68" s="148"/>
      <c r="J68" s="172"/>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149"/>
      <c r="AR68" s="448"/>
    </row>
    <row r="69" spans="2:44" ht="15.95" customHeight="1" x14ac:dyDescent="0.25">
      <c r="B69" s="441"/>
      <c r="I69" s="148"/>
      <c r="J69" s="172"/>
      <c r="K69" s="861" t="str">
        <f>IF(OR(M02S02F42="None",M02S02F42=""),"Contact the BizSavers program to discuss how you can save!","Contact your BizSavers representative today to discuss future energy saving opportunities and incentives!")</f>
        <v>Contact the BizSavers program to discuss how you can save!</v>
      </c>
      <c r="L69" s="861"/>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59"/>
      <c r="AK69" s="149"/>
      <c r="AR69" s="448"/>
    </row>
    <row r="70" spans="2:44" ht="15.95" customHeight="1" x14ac:dyDescent="0.25">
      <c r="B70" s="441"/>
      <c r="I70" s="148"/>
      <c r="K70" s="619" t="str">
        <f>IF(OR(M02S02F42="None",M02S02F42=""),"866-941-7299","Name")</f>
        <v>866-941-7299</v>
      </c>
      <c r="L70" s="619"/>
      <c r="M70" s="619"/>
      <c r="N70" s="619"/>
      <c r="O70" s="619"/>
      <c r="P70" s="619"/>
      <c r="Q70" s="619"/>
      <c r="R70" s="172"/>
      <c r="S70" s="172"/>
      <c r="T70" s="619" t="str">
        <f>IF(OR(M02S02F42="None",M02S02F42=""),"BizSavers@ameren.com","Phone")</f>
        <v>BizSavers@ameren.com</v>
      </c>
      <c r="U70" s="619"/>
      <c r="V70" s="619"/>
      <c r="W70" s="619"/>
      <c r="X70" s="619"/>
      <c r="Y70" s="619"/>
      <c r="Z70" s="619"/>
      <c r="AA70" s="172"/>
      <c r="AB70" s="172"/>
      <c r="AC70" s="619" t="str">
        <f>IF(OR(M02S02F42="None",M02S02F42=""),"AmerenMissouri.com/BizSavers","Email")</f>
        <v>AmerenMissouri.com/BizSavers</v>
      </c>
      <c r="AD70" s="619"/>
      <c r="AE70" s="619"/>
      <c r="AF70" s="619"/>
      <c r="AG70" s="619"/>
      <c r="AH70" s="619"/>
      <c r="AI70" s="619"/>
      <c r="AJ70" s="173"/>
      <c r="AK70" s="149"/>
      <c r="AR70" s="448"/>
    </row>
    <row r="71" spans="2:44" ht="15.95" customHeight="1" x14ac:dyDescent="0.25">
      <c r="B71" s="441"/>
      <c r="I71" s="148"/>
      <c r="J71" s="455"/>
      <c r="K71" s="857">
        <f>M02S02F42</f>
        <v>0</v>
      </c>
      <c r="L71" s="857"/>
      <c r="M71" s="857"/>
      <c r="N71" s="857"/>
      <c r="O71" s="857"/>
      <c r="P71" s="857"/>
      <c r="Q71" s="857"/>
      <c r="R71" s="124"/>
      <c r="S71" s="124"/>
      <c r="T71" s="857" t="str">
        <f>IFERROR(INDEX(BUSDEVELPHONE,MATCH(K71,BUSDEVELNAME,0)),"")</f>
        <v/>
      </c>
      <c r="U71" s="857"/>
      <c r="V71" s="857"/>
      <c r="W71" s="857"/>
      <c r="X71" s="857"/>
      <c r="Y71" s="857"/>
      <c r="Z71" s="857"/>
      <c r="AA71" s="124"/>
      <c r="AB71" s="124"/>
      <c r="AC71" s="858" t="str">
        <f>IFERROR(INDEX(BUSDEVELEMAIL,MATCH(K71,BUSDEVELNAME,0)),"")</f>
        <v/>
      </c>
      <c r="AD71" s="858"/>
      <c r="AE71" s="858"/>
      <c r="AF71" s="858"/>
      <c r="AG71" s="858"/>
      <c r="AH71" s="858"/>
      <c r="AI71" s="858"/>
      <c r="AJ71" s="124"/>
      <c r="AK71" s="149"/>
      <c r="AR71" s="448"/>
    </row>
    <row r="72" spans="2:44" ht="15.95" customHeight="1" x14ac:dyDescent="0.25">
      <c r="B72" s="441"/>
      <c r="I72" s="148"/>
      <c r="J72" s="455"/>
      <c r="K72" s="455"/>
      <c r="L72" s="455"/>
      <c r="M72" s="455"/>
      <c r="N72" s="455"/>
      <c r="O72" s="455"/>
      <c r="P72" s="455"/>
      <c r="Q72" s="455"/>
      <c r="R72" s="455"/>
      <c r="S72" s="455"/>
      <c r="T72" s="455"/>
      <c r="U72" s="455"/>
      <c r="V72" s="455"/>
      <c r="W72" s="455"/>
      <c r="X72" s="455"/>
      <c r="Y72" s="455"/>
      <c r="Z72" s="455"/>
      <c r="AA72" s="455"/>
      <c r="AB72" s="455"/>
      <c r="AC72" s="455"/>
      <c r="AD72" s="455"/>
      <c r="AE72" s="455"/>
      <c r="AF72" s="455"/>
      <c r="AG72" s="455"/>
      <c r="AH72" s="455"/>
      <c r="AI72" s="455"/>
      <c r="AJ72" s="455"/>
      <c r="AK72" s="149"/>
      <c r="AR72" s="448"/>
    </row>
    <row r="73" spans="2:44" ht="15.95" customHeight="1" x14ac:dyDescent="0.25">
      <c r="B73" s="441"/>
      <c r="I73" s="148"/>
      <c r="J73" s="865" t="s">
        <v>2080</v>
      </c>
      <c r="K73" s="865"/>
      <c r="L73" s="865"/>
      <c r="M73" s="865"/>
      <c r="N73" s="865"/>
      <c r="O73" s="865"/>
      <c r="P73" s="865"/>
      <c r="Q73" s="865"/>
      <c r="R73" s="865"/>
      <c r="S73" s="865"/>
      <c r="T73" s="865"/>
      <c r="U73" s="865"/>
      <c r="V73" s="865"/>
      <c r="W73" s="865"/>
      <c r="X73" s="865"/>
      <c r="Y73" s="865"/>
      <c r="Z73" s="865"/>
      <c r="AA73" s="865"/>
      <c r="AB73" s="865"/>
      <c r="AC73" s="865"/>
      <c r="AD73" s="865"/>
      <c r="AE73" s="865"/>
      <c r="AF73" s="865"/>
      <c r="AG73" s="865"/>
      <c r="AH73" s="865"/>
      <c r="AI73" s="865"/>
      <c r="AJ73" s="865"/>
      <c r="AK73" s="149"/>
      <c r="AR73" s="448"/>
    </row>
    <row r="74" spans="2:44" ht="15.95" customHeight="1" x14ac:dyDescent="0.25">
      <c r="B74" s="441"/>
      <c r="I74" s="148"/>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5"/>
      <c r="AK74" s="149"/>
      <c r="AR74" s="448"/>
    </row>
    <row r="75" spans="2:44" ht="15.95" customHeight="1" x14ac:dyDescent="0.25">
      <c r="B75" s="441"/>
      <c r="I75" s="148"/>
      <c r="J75" s="865"/>
      <c r="K75" s="865"/>
      <c r="L75" s="865"/>
      <c r="M75" s="865"/>
      <c r="N75" s="865"/>
      <c r="O75" s="865"/>
      <c r="P75" s="865"/>
      <c r="Q75" s="865"/>
      <c r="R75" s="865"/>
      <c r="S75" s="865"/>
      <c r="T75" s="865"/>
      <c r="U75" s="865"/>
      <c r="V75" s="865"/>
      <c r="W75" s="865"/>
      <c r="X75" s="865"/>
      <c r="Y75" s="865"/>
      <c r="Z75" s="865"/>
      <c r="AA75" s="865"/>
      <c r="AB75" s="865"/>
      <c r="AC75" s="865"/>
      <c r="AD75" s="865"/>
      <c r="AE75" s="865"/>
      <c r="AF75" s="865"/>
      <c r="AG75" s="865"/>
      <c r="AH75" s="865"/>
      <c r="AI75" s="865"/>
      <c r="AJ75" s="865"/>
      <c r="AK75" s="149"/>
      <c r="AR75" s="448"/>
    </row>
    <row r="76" spans="2:44" ht="15.95" customHeight="1" x14ac:dyDescent="0.25">
      <c r="B76" s="441"/>
      <c r="I76" s="148"/>
      <c r="J76" s="865"/>
      <c r="K76" s="865"/>
      <c r="L76" s="865"/>
      <c r="M76" s="865"/>
      <c r="N76" s="865"/>
      <c r="O76" s="865"/>
      <c r="P76" s="865"/>
      <c r="Q76" s="865"/>
      <c r="R76" s="865"/>
      <c r="S76" s="865"/>
      <c r="T76" s="865"/>
      <c r="U76" s="865"/>
      <c r="V76" s="865"/>
      <c r="W76" s="865"/>
      <c r="X76" s="865"/>
      <c r="Y76" s="865"/>
      <c r="Z76" s="865"/>
      <c r="AA76" s="865"/>
      <c r="AB76" s="865"/>
      <c r="AC76" s="865"/>
      <c r="AD76" s="865"/>
      <c r="AE76" s="865"/>
      <c r="AF76" s="865"/>
      <c r="AG76" s="865"/>
      <c r="AH76" s="865"/>
      <c r="AI76" s="865"/>
      <c r="AJ76" s="865"/>
      <c r="AK76" s="149"/>
      <c r="AR76" s="448"/>
    </row>
    <row r="77" spans="2:44" ht="15.95" customHeight="1" x14ac:dyDescent="0.25">
      <c r="B77" s="441"/>
      <c r="I77" s="148"/>
      <c r="J77" s="865"/>
      <c r="K77" s="865"/>
      <c r="L77" s="865"/>
      <c r="M77" s="865"/>
      <c r="N77" s="865"/>
      <c r="O77" s="865"/>
      <c r="P77" s="865"/>
      <c r="Q77" s="865"/>
      <c r="R77" s="865"/>
      <c r="S77" s="865"/>
      <c r="T77" s="865"/>
      <c r="U77" s="865"/>
      <c r="V77" s="865"/>
      <c r="W77" s="865"/>
      <c r="X77" s="865"/>
      <c r="Y77" s="865"/>
      <c r="Z77" s="865"/>
      <c r="AA77" s="865"/>
      <c r="AB77" s="865"/>
      <c r="AC77" s="865"/>
      <c r="AD77" s="865"/>
      <c r="AE77" s="865"/>
      <c r="AF77" s="865"/>
      <c r="AG77" s="865"/>
      <c r="AH77" s="865"/>
      <c r="AI77" s="865"/>
      <c r="AJ77" s="865"/>
      <c r="AK77" s="149"/>
      <c r="AR77" s="448"/>
    </row>
    <row r="78" spans="2:44" ht="15.95" customHeight="1" x14ac:dyDescent="0.25">
      <c r="B78" s="441"/>
      <c r="I78" s="148"/>
      <c r="J78" s="865"/>
      <c r="K78" s="865"/>
      <c r="L78" s="865"/>
      <c r="M78" s="865"/>
      <c r="N78" s="865"/>
      <c r="O78" s="865"/>
      <c r="P78" s="865"/>
      <c r="Q78" s="865"/>
      <c r="R78" s="865"/>
      <c r="S78" s="865"/>
      <c r="T78" s="865"/>
      <c r="U78" s="865"/>
      <c r="V78" s="865"/>
      <c r="W78" s="865"/>
      <c r="X78" s="865"/>
      <c r="Y78" s="865"/>
      <c r="Z78" s="865"/>
      <c r="AA78" s="865"/>
      <c r="AB78" s="865"/>
      <c r="AC78" s="865"/>
      <c r="AD78" s="865"/>
      <c r="AE78" s="865"/>
      <c r="AF78" s="865"/>
      <c r="AG78" s="865"/>
      <c r="AH78" s="865"/>
      <c r="AI78" s="865"/>
      <c r="AJ78" s="865"/>
      <c r="AK78" s="149"/>
      <c r="AR78" s="448"/>
    </row>
    <row r="79" spans="2:44" ht="15.95" customHeight="1" x14ac:dyDescent="0.25">
      <c r="B79" s="441"/>
      <c r="I79" s="148"/>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5"/>
      <c r="AI79" s="865"/>
      <c r="AJ79" s="865"/>
      <c r="AK79" s="149"/>
      <c r="AR79" s="448"/>
    </row>
    <row r="80" spans="2:44" ht="15.95" customHeight="1" x14ac:dyDescent="0.25">
      <c r="B80" s="441"/>
      <c r="I80" s="148"/>
      <c r="J80" s="862" t="s">
        <v>1062</v>
      </c>
      <c r="K80" s="862"/>
      <c r="L80" s="862"/>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149"/>
      <c r="AR80" s="448"/>
    </row>
    <row r="81" spans="2:44" ht="15.95" customHeight="1" x14ac:dyDescent="0.25">
      <c r="B81" s="441"/>
      <c r="I81" s="148"/>
      <c r="J81" s="862"/>
      <c r="K81" s="862"/>
      <c r="L81" s="862"/>
      <c r="M81" s="862"/>
      <c r="N81" s="862"/>
      <c r="O81" s="862"/>
      <c r="P81" s="862"/>
      <c r="Q81" s="862"/>
      <c r="R81" s="862"/>
      <c r="S81" s="862"/>
      <c r="T81" s="862"/>
      <c r="U81" s="862"/>
      <c r="V81" s="862"/>
      <c r="W81" s="862"/>
      <c r="X81" s="862"/>
      <c r="Y81" s="862"/>
      <c r="Z81" s="862"/>
      <c r="AA81" s="862"/>
      <c r="AB81" s="862"/>
      <c r="AC81" s="862"/>
      <c r="AD81" s="862"/>
      <c r="AE81" s="862"/>
      <c r="AF81" s="862"/>
      <c r="AG81" s="862"/>
      <c r="AH81" s="862"/>
      <c r="AI81" s="862"/>
      <c r="AJ81" s="862"/>
      <c r="AK81" s="149"/>
      <c r="AR81" s="448"/>
    </row>
    <row r="82" spans="2:44" ht="15.75" customHeight="1" x14ac:dyDescent="0.25">
      <c r="B82" s="441"/>
      <c r="I82" s="150"/>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2"/>
      <c r="AR82" s="448"/>
    </row>
    <row r="83" spans="2:44" ht="15.95" customHeight="1" x14ac:dyDescent="0.25">
      <c r="B83" s="441"/>
      <c r="AR83" s="448"/>
    </row>
    <row r="84" spans="2:44" ht="15.95" hidden="1" customHeight="1" x14ac:dyDescent="0.25"/>
    <row r="85" spans="2:44" ht="15.95" hidden="1" customHeight="1" x14ac:dyDescent="0.25"/>
    <row r="86" spans="2:44" ht="15.95" hidden="1" customHeight="1" x14ac:dyDescent="0.25"/>
    <row r="87" spans="2:44" ht="15.95" hidden="1" customHeight="1" x14ac:dyDescent="0.25"/>
    <row r="88" spans="2:44" ht="15.95" hidden="1" customHeight="1" x14ac:dyDescent="0.25"/>
    <row r="89" spans="2:44" ht="15.95" hidden="1" customHeight="1" x14ac:dyDescent="0.25"/>
    <row r="90" spans="2:44" ht="15.95" hidden="1" customHeight="1" x14ac:dyDescent="0.25"/>
    <row r="91" spans="2:44" ht="15.95" hidden="1" customHeight="1" x14ac:dyDescent="0.25"/>
    <row r="92" spans="2:44" ht="15.95" hidden="1" customHeight="1" x14ac:dyDescent="0.25"/>
    <row r="93" spans="2:44" ht="15.95" hidden="1" customHeight="1" x14ac:dyDescent="0.25"/>
    <row r="94" spans="2:44" ht="15.95" hidden="1" customHeight="1" x14ac:dyDescent="0.25"/>
    <row r="95" spans="2:44" ht="15.95" hidden="1" customHeight="1" x14ac:dyDescent="0.25"/>
    <row r="96" spans="2:44"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75" hidden="1" customHeight="1" x14ac:dyDescent="0.25"/>
    <row r="190" ht="15.75" hidden="1" customHeight="1" x14ac:dyDescent="0.25"/>
    <row r="191" ht="15.75" hidden="1" customHeight="1" x14ac:dyDescent="0.25"/>
    <row r="192" ht="15.75" hidden="1" customHeight="1" x14ac:dyDescent="0.25"/>
    <row r="193" spans="2:44" ht="15.75" hidden="1" customHeight="1" x14ac:dyDescent="0.25"/>
    <row r="194" spans="2:44" ht="15.75" hidden="1" customHeight="1" x14ac:dyDescent="0.25"/>
    <row r="195" spans="2:44" ht="15.75" hidden="1" customHeight="1" x14ac:dyDescent="0.25"/>
    <row r="196" spans="2:44" ht="15.75" hidden="1" customHeight="1" x14ac:dyDescent="0.25"/>
    <row r="197" spans="2:44" ht="15.75" hidden="1" customHeight="1" x14ac:dyDescent="0.25"/>
    <row r="198" spans="2:44" ht="15.95" hidden="1" customHeight="1" x14ac:dyDescent="0.25"/>
    <row r="199" spans="2:44" ht="15.95" hidden="1" customHeight="1" x14ac:dyDescent="0.25"/>
    <row r="200" spans="2:44" ht="15.95" customHeight="1" x14ac:dyDescent="0.25">
      <c r="B200" s="332"/>
      <c r="C200" s="332"/>
      <c r="D200" s="335"/>
      <c r="E200" s="332"/>
      <c r="F200" s="335"/>
      <c r="G200" s="335"/>
      <c r="H200" s="335"/>
      <c r="I200" s="335"/>
      <c r="J200" s="335"/>
      <c r="K200" s="335"/>
      <c r="L200" s="335"/>
      <c r="M200" s="335"/>
      <c r="N200" s="335"/>
      <c r="O200" s="335"/>
      <c r="P200" s="335"/>
      <c r="Q200" s="335"/>
      <c r="R200" s="335"/>
      <c r="S200" s="335"/>
      <c r="T200" s="335"/>
      <c r="U200" s="335"/>
      <c r="V200" s="335"/>
      <c r="W200" s="334"/>
      <c r="X200" s="336"/>
      <c r="Y200" s="335"/>
      <c r="Z200" s="335"/>
      <c r="AA200" s="335"/>
      <c r="AB200" s="335"/>
      <c r="AC200" s="335"/>
      <c r="AD200" s="335"/>
      <c r="AE200" s="335"/>
      <c r="AF200" s="335"/>
      <c r="AG200" s="335"/>
      <c r="AH200" s="335"/>
      <c r="AI200" s="335"/>
      <c r="AJ200" s="335"/>
      <c r="AK200" s="334"/>
      <c r="AL200" s="337"/>
      <c r="AM200" s="337"/>
      <c r="AN200" s="337"/>
      <c r="AO200" s="337"/>
      <c r="AP200" s="337"/>
      <c r="AQ200" s="337"/>
      <c r="AR200" s="332"/>
    </row>
    <row r="201" spans="2:44" ht="15.95" customHeight="1" x14ac:dyDescent="0.35">
      <c r="B201" s="332"/>
      <c r="C201" s="332"/>
      <c r="D201" s="335"/>
      <c r="E201" s="332"/>
      <c r="F201" s="335"/>
      <c r="G201" s="335"/>
      <c r="H201" s="335"/>
      <c r="I201" s="335"/>
      <c r="J201" s="335"/>
      <c r="K201" s="335"/>
      <c r="L201" s="335"/>
      <c r="M201" s="335"/>
      <c r="N201" s="335"/>
      <c r="O201" s="335"/>
      <c r="P201" s="335"/>
      <c r="Q201" s="335"/>
      <c r="R201" s="335"/>
      <c r="S201" s="335"/>
      <c r="T201" s="332"/>
      <c r="U201" s="332"/>
      <c r="V201" s="332"/>
      <c r="W201" s="332"/>
      <c r="X201" s="332"/>
      <c r="Y201" s="335"/>
      <c r="Z201" s="335"/>
      <c r="AA201" s="335"/>
      <c r="AB201" s="335"/>
      <c r="AC201" s="335"/>
      <c r="AD201" s="335"/>
      <c r="AE201" s="335"/>
      <c r="AF201" s="335"/>
      <c r="AG201" s="335"/>
      <c r="AH201" s="335"/>
      <c r="AI201" s="335"/>
      <c r="AJ201" s="335"/>
      <c r="AK201" s="334"/>
      <c r="AL201" s="337"/>
      <c r="AM201" s="337"/>
      <c r="AN201" s="337"/>
      <c r="AO201" s="337"/>
      <c r="AP201" s="337"/>
      <c r="AQ201" s="337"/>
      <c r="AR201" s="338" t="s">
        <v>1761</v>
      </c>
    </row>
    <row r="202" spans="2:44" ht="15" customHeight="1" x14ac:dyDescent="0.35">
      <c r="B202" s="332"/>
      <c r="C202" s="339"/>
      <c r="D202" s="339"/>
      <c r="E202" s="339"/>
      <c r="F202" s="339"/>
      <c r="G202" s="339"/>
      <c r="H202" s="339"/>
      <c r="I202" s="339"/>
      <c r="J202" s="339"/>
      <c r="K202" s="339"/>
      <c r="L202" s="339"/>
      <c r="M202" s="339"/>
      <c r="N202" s="339"/>
      <c r="O202" s="339"/>
      <c r="P202" s="339"/>
      <c r="Q202" s="339"/>
      <c r="R202" s="339"/>
      <c r="S202" s="339"/>
      <c r="T202" s="339"/>
      <c r="U202" s="339"/>
      <c r="V202" s="339"/>
      <c r="W202" s="333"/>
      <c r="X202" s="340"/>
      <c r="Y202" s="339"/>
      <c r="Z202" s="339"/>
      <c r="AA202" s="339"/>
      <c r="AB202" s="339"/>
      <c r="AC202" s="335"/>
      <c r="AD202" s="335"/>
      <c r="AE202" s="335"/>
      <c r="AF202" s="335"/>
      <c r="AG202" s="335"/>
      <c r="AH202" s="335"/>
      <c r="AI202" s="335"/>
      <c r="AJ202" s="335"/>
      <c r="AK202" s="334"/>
      <c r="AL202" s="337"/>
      <c r="AM202" s="337"/>
      <c r="AN202" s="337"/>
      <c r="AO202" s="337"/>
      <c r="AP202" s="337"/>
      <c r="AQ202" s="337"/>
      <c r="AR202" s="338" t="s">
        <v>1762</v>
      </c>
    </row>
    <row r="203" spans="2:44" ht="15" customHeight="1" x14ac:dyDescent="0.25">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row>
    <row r="204" spans="2:44" ht="15" customHeight="1" x14ac:dyDescent="0.25">
      <c r="B204" s="332"/>
      <c r="C204" s="341"/>
      <c r="D204" s="341"/>
      <c r="E204" s="341"/>
      <c r="F204" s="341"/>
      <c r="G204" s="341"/>
      <c r="H204" s="341"/>
      <c r="I204" s="341"/>
      <c r="J204" s="341"/>
      <c r="K204" s="341"/>
      <c r="L204" s="341"/>
      <c r="M204" s="807" t="str">
        <f>IF(PROJID=0,"",CONCATENATE("Project ",PROJID))</f>
        <v/>
      </c>
      <c r="N204" s="807"/>
      <c r="O204" s="807"/>
      <c r="P204" s="807"/>
      <c r="Q204" s="807"/>
      <c r="R204" s="807"/>
      <c r="S204" s="807"/>
      <c r="T204" s="807"/>
      <c r="U204" s="807"/>
      <c r="V204" s="807"/>
      <c r="W204" s="807"/>
      <c r="X204" s="807"/>
      <c r="Y204" s="807"/>
      <c r="Z204" s="807"/>
      <c r="AA204" s="807"/>
      <c r="AB204" s="807"/>
      <c r="AC204" s="807"/>
      <c r="AD204" s="807"/>
      <c r="AE204" s="807"/>
      <c r="AF204" s="807"/>
      <c r="AG204" s="807"/>
      <c r="AH204" s="341"/>
      <c r="AI204" s="341"/>
      <c r="AJ204" s="341"/>
      <c r="AK204" s="342"/>
      <c r="AL204" s="808"/>
      <c r="AM204" s="808"/>
      <c r="AN204" s="808"/>
      <c r="AO204" s="808"/>
      <c r="AP204" s="808"/>
      <c r="AQ204" s="808"/>
      <c r="AR204" s="808"/>
    </row>
    <row r="205" spans="2:44" ht="15" customHeight="1" x14ac:dyDescent="0.25">
      <c r="B205" s="332"/>
      <c r="C205" s="341"/>
      <c r="D205" s="341"/>
      <c r="E205" s="341"/>
      <c r="F205" s="341"/>
      <c r="G205" s="341"/>
      <c r="H205" s="341"/>
      <c r="I205" s="341"/>
      <c r="J205" s="341"/>
      <c r="K205" s="341"/>
      <c r="L205" s="341"/>
      <c r="M205" s="807"/>
      <c r="N205" s="807"/>
      <c r="O205" s="807"/>
      <c r="P205" s="807"/>
      <c r="Q205" s="807"/>
      <c r="R205" s="807"/>
      <c r="S205" s="807"/>
      <c r="T205" s="807"/>
      <c r="U205" s="807"/>
      <c r="V205" s="807"/>
      <c r="W205" s="807"/>
      <c r="X205" s="807"/>
      <c r="Y205" s="807"/>
      <c r="Z205" s="807"/>
      <c r="AA205" s="807"/>
      <c r="AB205" s="807"/>
      <c r="AC205" s="807"/>
      <c r="AD205" s="807"/>
      <c r="AE205" s="807"/>
      <c r="AF205" s="807"/>
      <c r="AG205" s="807"/>
      <c r="AH205" s="341"/>
      <c r="AI205" s="341"/>
      <c r="AJ205" s="341"/>
      <c r="AK205" s="341"/>
      <c r="AL205" s="341"/>
      <c r="AM205" s="341"/>
      <c r="AN205" s="805"/>
      <c r="AO205" s="805"/>
      <c r="AP205" s="805"/>
      <c r="AQ205" s="805"/>
      <c r="AR205" s="805"/>
    </row>
    <row r="206" spans="2:44" ht="15" customHeight="1" x14ac:dyDescent="0.25">
      <c r="B206" s="792"/>
      <c r="C206" s="792"/>
      <c r="D206" s="792"/>
      <c r="E206" s="792"/>
      <c r="F206" s="792"/>
      <c r="G206" s="792"/>
      <c r="H206" s="341"/>
      <c r="I206" s="332"/>
      <c r="J206" s="332"/>
      <c r="K206" s="332"/>
      <c r="L206" s="332"/>
      <c r="M206" s="332"/>
      <c r="N206" s="332"/>
      <c r="O206" s="332"/>
      <c r="P206" s="332"/>
      <c r="Q206" s="332"/>
      <c r="R206" s="332"/>
      <c r="S206" s="332"/>
      <c r="T206" s="332"/>
      <c r="U206" s="343"/>
      <c r="V206" s="343"/>
      <c r="W206" s="332"/>
      <c r="X206" s="343"/>
      <c r="Y206" s="343"/>
      <c r="Z206" s="343"/>
      <c r="AA206" s="343"/>
      <c r="AB206" s="343"/>
      <c r="AC206" s="343"/>
      <c r="AD206" s="343"/>
      <c r="AE206" s="341"/>
      <c r="AF206" s="341"/>
      <c r="AG206" s="341"/>
      <c r="AH206" s="341"/>
      <c r="AI206" s="341"/>
      <c r="AJ206" s="341"/>
      <c r="AK206" s="341"/>
      <c r="AL206" s="341"/>
      <c r="AM206" s="341"/>
      <c r="AN206" s="341"/>
      <c r="AO206" s="341"/>
      <c r="AP206" s="341"/>
      <c r="AQ206" s="341"/>
      <c r="AR206" s="332"/>
    </row>
    <row r="207" spans="2:44" ht="15" customHeight="1" x14ac:dyDescent="0.25">
      <c r="T207" s="367"/>
      <c r="U207" s="367"/>
      <c r="V207" s="367"/>
      <c r="W207" s="368" t="str">
        <f>VERSION</f>
        <v>Lighting One-Page 2.3.0</v>
      </c>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9" t="s">
        <v>1630</v>
      </c>
    </row>
  </sheetData>
  <sheetProtection algorithmName="SHA-512" hashValue="XELITC6zsrwJdtTrXzv8NXNmF9aAfIkDSju+nIwpSjQg444oD6PctR2au3ieis//BpIUA2R8y0LGedjj3NdVNQ==" saltValue="+pN8/ZXO1afn3NKL5rA1Kw==" spinCount="100000" sheet="1" objects="1" scenarios="1" selectLockedCells="1"/>
  <mergeCells count="87">
    <mergeCell ref="AL204:AR204"/>
    <mergeCell ref="AN205:AR205"/>
    <mergeCell ref="B206:G206"/>
    <mergeCell ref="C11:J12"/>
    <mergeCell ref="S11:Z12"/>
    <mergeCell ref="AI11:AQ12"/>
    <mergeCell ref="C13:J14"/>
    <mergeCell ref="S13:Z14"/>
    <mergeCell ref="AI13:AQ14"/>
    <mergeCell ref="K50:P51"/>
    <mergeCell ref="K48:P49"/>
    <mergeCell ref="T48:AA49"/>
    <mergeCell ref="T50:AA51"/>
    <mergeCell ref="AD50:AI51"/>
    <mergeCell ref="AD48:AI49"/>
    <mergeCell ref="W32:AC32"/>
    <mergeCell ref="M204:AG205"/>
    <mergeCell ref="P32:V32"/>
    <mergeCell ref="P31:V31"/>
    <mergeCell ref="P33:V33"/>
    <mergeCell ref="P34:V34"/>
    <mergeCell ref="K45:AJ46"/>
    <mergeCell ref="W39:AC39"/>
    <mergeCell ref="AD36:AJ36"/>
    <mergeCell ref="W33:AC33"/>
    <mergeCell ref="W34:AC34"/>
    <mergeCell ref="W35:AC35"/>
    <mergeCell ref="AD35:AJ35"/>
    <mergeCell ref="K29:O36"/>
    <mergeCell ref="AD33:AJ33"/>
    <mergeCell ref="AE57:AJ57"/>
    <mergeCell ref="J57:K58"/>
    <mergeCell ref="F17:AN17"/>
    <mergeCell ref="K26:AI27"/>
    <mergeCell ref="P29:V29"/>
    <mergeCell ref="AD34:AJ34"/>
    <mergeCell ref="W31:AC31"/>
    <mergeCell ref="W29:AC29"/>
    <mergeCell ref="AD29:AJ29"/>
    <mergeCell ref="AD30:AJ30"/>
    <mergeCell ref="W30:AC30"/>
    <mergeCell ref="L57:U57"/>
    <mergeCell ref="V57:AD57"/>
    <mergeCell ref="P37:V37"/>
    <mergeCell ref="W37:AC37"/>
    <mergeCell ref="AD37:AJ37"/>
    <mergeCell ref="W40:AC40"/>
    <mergeCell ref="W41:AC41"/>
    <mergeCell ref="W42:AC42"/>
    <mergeCell ref="W43:AC43"/>
    <mergeCell ref="K54:AJ55"/>
    <mergeCell ref="K39:O43"/>
    <mergeCell ref="AD42:AJ42"/>
    <mergeCell ref="AD43:AJ43"/>
    <mergeCell ref="P41:V41"/>
    <mergeCell ref="P43:V43"/>
    <mergeCell ref="P42:V42"/>
    <mergeCell ref="J80:AJ81"/>
    <mergeCell ref="K61:Q62"/>
    <mergeCell ref="AC61:AI62"/>
    <mergeCell ref="AC70:AI70"/>
    <mergeCell ref="J73:AJ79"/>
    <mergeCell ref="J59:AJ60"/>
    <mergeCell ref="T71:Z71"/>
    <mergeCell ref="AC71:AI71"/>
    <mergeCell ref="K70:Q70"/>
    <mergeCell ref="T70:Z70"/>
    <mergeCell ref="AB63:AJ64"/>
    <mergeCell ref="J63:R65"/>
    <mergeCell ref="K67:AJ68"/>
    <mergeCell ref="K69:AI69"/>
    <mergeCell ref="K71:Q71"/>
    <mergeCell ref="C22:D22"/>
    <mergeCell ref="C18:D18"/>
    <mergeCell ref="AD39:AJ39"/>
    <mergeCell ref="AD40:AJ40"/>
    <mergeCell ref="AD41:AJ41"/>
    <mergeCell ref="P39:V39"/>
    <mergeCell ref="P40:V40"/>
    <mergeCell ref="W36:AC36"/>
    <mergeCell ref="AD31:AJ31"/>
    <mergeCell ref="AD32:AJ32"/>
    <mergeCell ref="F18:AN18"/>
    <mergeCell ref="K24:AI25"/>
    <mergeCell ref="P30:V30"/>
    <mergeCell ref="P35:V35"/>
    <mergeCell ref="P36:V36"/>
  </mergeCells>
  <conditionalFormatting sqref="K61:Q62">
    <cfRule type="expression" dxfId="12" priority="22">
      <formula>K61&lt;&gt;"&lt;RECFR Date&gt;"</formula>
    </cfRule>
  </conditionalFormatting>
  <conditionalFormatting sqref="K71:AI71">
    <cfRule type="expression" dxfId="11" priority="6">
      <formula>OR(M02S02F42="None",M02S02F42="")</formula>
    </cfRule>
  </conditionalFormatting>
  <conditionalFormatting sqref="L57:U57 AE57:AJ57 K61:Q62 AC61:AI62">
    <cfRule type="containsBlanks" dxfId="10" priority="77">
      <formula>LEN(TRIM(K57))=0</formula>
    </cfRule>
  </conditionalFormatting>
  <conditionalFormatting sqref="AC61:AI62">
    <cfRule type="expression" dxfId="9" priority="21">
      <formula>AC61&lt;&gt;"Enter estimated completion date"</formula>
    </cfRule>
  </conditionalFormatting>
  <dataValidations count="1">
    <dataValidation allowBlank="1" showErrorMessage="1" sqref="D203:AR203 D200:AR200 Y201:AR201 AN205:AR205 C202:AR202 C201:S201" xr:uid="{0875D487-09F0-4AEE-BCD5-684C225D71D2}"/>
  </dataValidations>
  <printOptions horizontalCentered="1" verticalCentered="1"/>
  <pageMargins left="0.3" right="0.3" top="0.3" bottom="0.3" header="0.25" footer="0.25"/>
  <pageSetup scale="74"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CB355"/>
  <sheetViews>
    <sheetView showGridLines="0" showRowColHeaders="0" showZeros="0" topLeftCell="A47" zoomScale="85" zoomScaleNormal="85" workbookViewId="0">
      <selection activeCell="Y56" sqref="Y56:AI57"/>
    </sheetView>
  </sheetViews>
  <sheetFormatPr defaultColWidth="0" defaultRowHeight="0" customHeight="1" zeroHeight="1" x14ac:dyDescent="0.25"/>
  <cols>
    <col min="1" max="45" width="4.7109375" customWidth="1"/>
    <col min="46" max="78" width="9.140625" hidden="1" customWidth="1"/>
    <col min="79" max="80" width="0" hidden="1" customWidth="1"/>
    <col min="81" max="16384" width="9.140625" hidden="1"/>
  </cols>
  <sheetData>
    <row r="1" spans="2:44" ht="15.95" customHeight="1" x14ac:dyDescent="0.25"/>
    <row r="2" spans="2:44" ht="15.95" customHeight="1" x14ac:dyDescent="0.25"/>
    <row r="3" spans="2:44" ht="15.95" customHeight="1" x14ac:dyDescent="0.25"/>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row r="10" spans="2:44" ht="15.95" customHeight="1" x14ac:dyDescent="0.25"/>
    <row r="11" spans="2:44" ht="15.95" customHeight="1" x14ac:dyDescent="0.25">
      <c r="B11" s="332"/>
      <c r="C11" s="736" t="str">
        <f>IF(AND(SUM('M01-S01'!AN32:AQ71)&gt;15000,ISNUMBER(SEARCH("YES, ",M02S02F44))),"Total Incentive (Capped)", "Total Incentive")</f>
        <v>Total Incentive</v>
      </c>
      <c r="D11" s="736"/>
      <c r="E11" s="736"/>
      <c r="F11" s="736"/>
      <c r="G11" s="736"/>
      <c r="H11" s="736"/>
      <c r="I11" s="736"/>
      <c r="J11" s="736"/>
      <c r="K11" s="332"/>
      <c r="L11" s="332"/>
      <c r="M11" s="332"/>
      <c r="N11" s="332"/>
      <c r="O11" s="332"/>
      <c r="P11" s="332"/>
      <c r="Q11" s="332"/>
      <c r="R11" s="332"/>
      <c r="S11" s="738" t="s">
        <v>723</v>
      </c>
      <c r="T11" s="738"/>
      <c r="U11" s="738"/>
      <c r="V11" s="738"/>
      <c r="W11" s="738"/>
      <c r="X11" s="738"/>
      <c r="Y11" s="738"/>
      <c r="Z11" s="738"/>
      <c r="AA11" s="332"/>
      <c r="AB11" s="332"/>
      <c r="AC11" s="332"/>
      <c r="AD11" s="332"/>
      <c r="AE11" s="332"/>
      <c r="AF11" s="332"/>
      <c r="AG11" s="332"/>
      <c r="AH11" s="332"/>
      <c r="AI11" s="736" t="s">
        <v>373</v>
      </c>
      <c r="AJ11" s="736"/>
      <c r="AK11" s="736"/>
      <c r="AL11" s="736"/>
      <c r="AM11" s="736"/>
      <c r="AN11" s="736"/>
      <c r="AO11" s="736"/>
      <c r="AP11" s="736"/>
      <c r="AQ11" s="736"/>
      <c r="AR11" s="332"/>
    </row>
    <row r="12" spans="2:44" ht="15.95" customHeight="1" x14ac:dyDescent="0.25">
      <c r="B12" s="332"/>
      <c r="C12" s="736"/>
      <c r="D12" s="736"/>
      <c r="E12" s="736"/>
      <c r="F12" s="736"/>
      <c r="G12" s="736"/>
      <c r="H12" s="736"/>
      <c r="I12" s="736"/>
      <c r="J12" s="736"/>
      <c r="K12" s="332"/>
      <c r="L12" s="332"/>
      <c r="M12" s="332"/>
      <c r="N12" s="332"/>
      <c r="O12" s="332"/>
      <c r="P12" s="332"/>
      <c r="Q12" s="332"/>
      <c r="R12" s="332"/>
      <c r="S12" s="738"/>
      <c r="T12" s="738"/>
      <c r="U12" s="738"/>
      <c r="V12" s="738"/>
      <c r="W12" s="738"/>
      <c r="X12" s="738"/>
      <c r="Y12" s="738"/>
      <c r="Z12" s="738"/>
      <c r="AA12" s="332"/>
      <c r="AB12" s="332"/>
      <c r="AC12" s="332"/>
      <c r="AD12" s="332"/>
      <c r="AE12" s="332"/>
      <c r="AF12" s="332"/>
      <c r="AG12" s="332"/>
      <c r="AH12" s="332"/>
      <c r="AI12" s="736"/>
      <c r="AJ12" s="736"/>
      <c r="AK12" s="736"/>
      <c r="AL12" s="736"/>
      <c r="AM12" s="736"/>
      <c r="AN12" s="736"/>
      <c r="AO12" s="736"/>
      <c r="AP12" s="736"/>
      <c r="AQ12" s="736"/>
      <c r="AR12" s="332"/>
    </row>
    <row r="13" spans="2:44" ht="15.95" customHeight="1" x14ac:dyDescent="0.25">
      <c r="B13" s="332"/>
      <c r="C13" s="753" t="str">
        <f>INCENSTATUS</f>
        <v>---</v>
      </c>
      <c r="D13" s="753"/>
      <c r="E13" s="753"/>
      <c r="F13" s="753"/>
      <c r="G13" s="753"/>
      <c r="H13" s="753"/>
      <c r="I13" s="753"/>
      <c r="J13" s="753"/>
      <c r="K13" s="332"/>
      <c r="L13" s="332"/>
      <c r="M13" s="332"/>
      <c r="N13" s="332"/>
      <c r="O13" s="332"/>
      <c r="P13" s="332"/>
      <c r="Q13" s="332"/>
      <c r="R13" s="332"/>
      <c r="S13" s="754" t="str">
        <f ca="1">PROJSTATUS</f>
        <v>Enter Measures</v>
      </c>
      <c r="T13" s="754"/>
      <c r="U13" s="754"/>
      <c r="V13" s="754"/>
      <c r="W13" s="754"/>
      <c r="X13" s="754"/>
      <c r="Y13" s="754"/>
      <c r="Z13" s="754"/>
      <c r="AA13" s="332"/>
      <c r="AB13" s="332"/>
      <c r="AC13" s="332"/>
      <c r="AD13" s="332"/>
      <c r="AE13" s="332"/>
      <c r="AF13" s="332"/>
      <c r="AG13" s="332"/>
      <c r="AH13" s="332"/>
      <c r="AI13" s="755">
        <f ca="1">PROGRESSSTATUS</f>
        <v>0</v>
      </c>
      <c r="AJ13" s="755"/>
      <c r="AK13" s="755"/>
      <c r="AL13" s="755"/>
      <c r="AM13" s="755"/>
      <c r="AN13" s="755"/>
      <c r="AO13" s="755"/>
      <c r="AP13" s="755"/>
      <c r="AQ13" s="755"/>
      <c r="AR13" s="332"/>
    </row>
    <row r="14" spans="2:44" ht="15.95" customHeight="1" x14ac:dyDescent="0.25">
      <c r="B14" s="332"/>
      <c r="C14" s="753"/>
      <c r="D14" s="753"/>
      <c r="E14" s="753"/>
      <c r="F14" s="753"/>
      <c r="G14" s="753"/>
      <c r="H14" s="753"/>
      <c r="I14" s="753"/>
      <c r="J14" s="753"/>
      <c r="K14" s="332"/>
      <c r="L14" s="332"/>
      <c r="M14" s="332"/>
      <c r="N14" s="332"/>
      <c r="O14" s="332"/>
      <c r="P14" s="332"/>
      <c r="Q14" s="332"/>
      <c r="R14" s="332"/>
      <c r="S14" s="754"/>
      <c r="T14" s="754"/>
      <c r="U14" s="754"/>
      <c r="V14" s="754"/>
      <c r="W14" s="754"/>
      <c r="X14" s="754"/>
      <c r="Y14" s="754"/>
      <c r="Z14" s="754"/>
      <c r="AA14" s="332"/>
      <c r="AB14" s="332"/>
      <c r="AC14" s="332"/>
      <c r="AD14" s="332"/>
      <c r="AE14" s="332"/>
      <c r="AF14" s="332"/>
      <c r="AG14" s="332"/>
      <c r="AH14" s="332"/>
      <c r="AI14" s="755"/>
      <c r="AJ14" s="755"/>
      <c r="AK14" s="755"/>
      <c r="AL14" s="755"/>
      <c r="AM14" s="755"/>
      <c r="AN14" s="755"/>
      <c r="AO14" s="755"/>
      <c r="AP14" s="755"/>
      <c r="AQ14" s="755"/>
      <c r="AR14" s="332"/>
    </row>
    <row r="15" spans="2:44" ht="15.95" customHeight="1" x14ac:dyDescent="0.25">
      <c r="B15" s="441"/>
      <c r="AR15" s="448"/>
    </row>
    <row r="16" spans="2:44" ht="15.95" customHeight="1" x14ac:dyDescent="0.3">
      <c r="B16" s="441"/>
      <c r="F16" s="538" t="s">
        <v>76</v>
      </c>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R16" s="448"/>
    </row>
    <row r="17" spans="2:80" ht="15.95" customHeight="1" x14ac:dyDescent="0.25">
      <c r="B17" s="441"/>
      <c r="F17" s="797" t="s">
        <v>1810</v>
      </c>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797"/>
      <c r="AL17" s="797"/>
      <c r="AM17" s="797"/>
      <c r="AN17" s="797"/>
      <c r="AR17" s="448"/>
    </row>
    <row r="18" spans="2:80" ht="15.95" customHeight="1" x14ac:dyDescent="0.25">
      <c r="B18" s="441"/>
      <c r="C18" s="848"/>
      <c r="D18" s="848"/>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797"/>
      <c r="AR18" s="448"/>
    </row>
    <row r="19" spans="2:80" ht="15.95" customHeight="1" x14ac:dyDescent="0.25">
      <c r="B19" s="441"/>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R19" s="448"/>
    </row>
    <row r="20" spans="2:80" ht="15.95" customHeight="1" thickBot="1" x14ac:dyDescent="0.3">
      <c r="B20" s="441"/>
      <c r="F20" s="59"/>
      <c r="G20" s="59"/>
      <c r="H20" s="59"/>
      <c r="I20" s="108"/>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10"/>
      <c r="AL20" s="59"/>
      <c r="AM20" s="59"/>
      <c r="AN20" s="59"/>
      <c r="AR20" s="448"/>
    </row>
    <row r="21" spans="2:80" ht="15.95" customHeight="1" x14ac:dyDescent="0.25">
      <c r="B21" s="441"/>
      <c r="I21" s="101"/>
      <c r="J21" s="375"/>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7"/>
      <c r="AK21" s="102"/>
      <c r="AR21" s="448"/>
    </row>
    <row r="22" spans="2:80" ht="15.95" customHeight="1" x14ac:dyDescent="0.25">
      <c r="B22" s="441"/>
      <c r="C22" s="847"/>
      <c r="D22" s="847"/>
      <c r="I22" s="101"/>
      <c r="J22" s="378"/>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79"/>
      <c r="AK22" s="102"/>
      <c r="AR22" s="448"/>
      <c r="CA22" s="13"/>
      <c r="CB22" s="13"/>
    </row>
    <row r="23" spans="2:80" ht="15.95" customHeight="1" x14ac:dyDescent="0.25">
      <c r="B23" s="441"/>
      <c r="I23" s="101"/>
      <c r="J23" s="378"/>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79"/>
      <c r="AK23" s="102"/>
      <c r="AR23" s="448"/>
      <c r="CA23" s="14"/>
      <c r="CB23" s="14"/>
    </row>
    <row r="24" spans="2:80" ht="15.95" customHeight="1" x14ac:dyDescent="0.25">
      <c r="B24" s="441"/>
      <c r="I24" s="101"/>
      <c r="J24" s="378"/>
      <c r="K24" s="854" t="s">
        <v>1071</v>
      </c>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379"/>
      <c r="AK24" s="102"/>
      <c r="AR24" s="448"/>
      <c r="CA24" s="14"/>
      <c r="CB24" s="14"/>
    </row>
    <row r="25" spans="2:80" ht="15.95" customHeight="1" x14ac:dyDescent="0.25">
      <c r="B25" s="441"/>
      <c r="I25" s="101"/>
      <c r="J25" s="378"/>
      <c r="K25" s="854"/>
      <c r="L25" s="854"/>
      <c r="M25" s="854"/>
      <c r="N25" s="854"/>
      <c r="O25" s="854"/>
      <c r="P25" s="854"/>
      <c r="Q25" s="854"/>
      <c r="R25" s="854"/>
      <c r="S25" s="854"/>
      <c r="T25" s="854"/>
      <c r="U25" s="854"/>
      <c r="V25" s="854"/>
      <c r="W25" s="854"/>
      <c r="X25" s="854"/>
      <c r="Y25" s="854"/>
      <c r="Z25" s="854"/>
      <c r="AA25" s="854"/>
      <c r="AB25" s="854"/>
      <c r="AC25" s="854"/>
      <c r="AD25" s="854"/>
      <c r="AE25" s="854"/>
      <c r="AF25" s="854"/>
      <c r="AG25" s="854"/>
      <c r="AH25" s="854"/>
      <c r="AI25" s="854"/>
      <c r="AJ25" s="379"/>
      <c r="AK25" s="102"/>
      <c r="AR25" s="448"/>
      <c r="CA25" s="14"/>
      <c r="CB25" s="14"/>
    </row>
    <row r="26" spans="2:80" ht="15.95" customHeight="1" x14ac:dyDescent="0.25">
      <c r="B26" s="441"/>
      <c r="I26" s="101"/>
      <c r="J26" s="406"/>
      <c r="K26" s="890">
        <f>M02S02F47</f>
        <v>0</v>
      </c>
      <c r="L26" s="890"/>
      <c r="M26" s="890"/>
      <c r="N26" s="890"/>
      <c r="O26" s="890"/>
      <c r="P26" s="890"/>
      <c r="Q26" s="890"/>
      <c r="R26" s="890"/>
      <c r="S26" s="890"/>
      <c r="T26" s="890"/>
      <c r="U26" s="890"/>
      <c r="V26" s="890"/>
      <c r="W26" s="890"/>
      <c r="X26" s="890"/>
      <c r="Y26" s="890"/>
      <c r="Z26" s="890"/>
      <c r="AA26" s="890"/>
      <c r="AB26" s="890"/>
      <c r="AC26" s="890"/>
      <c r="AD26" s="890"/>
      <c r="AE26" s="890"/>
      <c r="AF26" s="890"/>
      <c r="AG26" s="890"/>
      <c r="AH26" s="890"/>
      <c r="AI26" s="890"/>
      <c r="AJ26" s="407"/>
      <c r="AK26" s="102"/>
      <c r="AR26" s="448"/>
      <c r="CA26" s="42"/>
      <c r="CB26" s="42"/>
    </row>
    <row r="27" spans="2:80" ht="15.95" customHeight="1" thickBot="1" x14ac:dyDescent="0.3">
      <c r="B27" s="441"/>
      <c r="I27" s="101"/>
      <c r="J27" s="3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373"/>
      <c r="AK27" s="102"/>
      <c r="AR27" s="448"/>
      <c r="CA27" s="42"/>
      <c r="CB27" s="42"/>
    </row>
    <row r="28" spans="2:80" ht="15.95" customHeight="1" x14ac:dyDescent="0.25">
      <c r="B28" s="441"/>
      <c r="I28" s="101"/>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102"/>
      <c r="AR28" s="448"/>
      <c r="CA28" s="51"/>
      <c r="CB28" s="51"/>
    </row>
    <row r="29" spans="2:80" ht="15.95" customHeight="1" x14ac:dyDescent="0.25">
      <c r="B29" s="441"/>
      <c r="I29" s="101"/>
      <c r="J29" s="453"/>
      <c r="K29" s="878" t="s">
        <v>80</v>
      </c>
      <c r="L29" s="878"/>
      <c r="M29" s="878"/>
      <c r="N29" s="878"/>
      <c r="O29" s="878"/>
      <c r="P29" s="873" t="s">
        <v>1053</v>
      </c>
      <c r="Q29" s="873"/>
      <c r="R29" s="873"/>
      <c r="S29" s="873"/>
      <c r="T29" s="873"/>
      <c r="U29" s="873"/>
      <c r="V29" s="873"/>
      <c r="W29" s="873" t="s">
        <v>1054</v>
      </c>
      <c r="X29" s="873"/>
      <c r="Y29" s="873"/>
      <c r="Z29" s="873"/>
      <c r="AA29" s="873"/>
      <c r="AB29" s="873"/>
      <c r="AC29" s="873"/>
      <c r="AD29" s="873"/>
      <c r="AE29" s="873"/>
      <c r="AF29" s="873"/>
      <c r="AG29" s="873"/>
      <c r="AH29" s="873"/>
      <c r="AI29" s="873"/>
      <c r="AJ29" s="873"/>
      <c r="AK29" s="102"/>
      <c r="AR29" s="448"/>
      <c r="CA29" s="154"/>
      <c r="CB29" s="154"/>
    </row>
    <row r="30" spans="2:80" ht="15.95" customHeight="1" x14ac:dyDescent="0.25">
      <c r="B30" s="441"/>
      <c r="I30" s="101"/>
      <c r="J30" s="453"/>
      <c r="K30" s="878"/>
      <c r="L30" s="878"/>
      <c r="M30" s="878"/>
      <c r="N30" s="878"/>
      <c r="O30" s="878"/>
      <c r="P30" s="852">
        <f>PROJID</f>
        <v>0</v>
      </c>
      <c r="Q30" s="852"/>
      <c r="R30" s="852"/>
      <c r="S30" s="852"/>
      <c r="T30" s="852"/>
      <c r="U30" s="852"/>
      <c r="V30" s="852"/>
      <c r="W30" s="852">
        <f>M02S02F47</f>
        <v>0</v>
      </c>
      <c r="X30" s="852"/>
      <c r="Y30" s="852"/>
      <c r="Z30" s="852"/>
      <c r="AA30" s="852"/>
      <c r="AB30" s="852"/>
      <c r="AC30" s="852"/>
      <c r="AD30" s="852"/>
      <c r="AE30" s="852"/>
      <c r="AF30" s="852"/>
      <c r="AG30" s="852"/>
      <c r="AH30" s="852"/>
      <c r="AI30" s="852"/>
      <c r="AJ30" s="852"/>
      <c r="AK30" s="102"/>
      <c r="AR30" s="448"/>
      <c r="CA30" s="39"/>
      <c r="CB30" s="39"/>
    </row>
    <row r="31" spans="2:80" ht="15.95" customHeight="1" x14ac:dyDescent="0.25">
      <c r="B31" s="441"/>
      <c r="I31" s="101"/>
      <c r="J31" s="453"/>
      <c r="K31" s="878"/>
      <c r="L31" s="878"/>
      <c r="M31" s="878"/>
      <c r="N31" s="878"/>
      <c r="O31" s="878"/>
      <c r="P31" s="852"/>
      <c r="Q31" s="852"/>
      <c r="R31" s="852"/>
      <c r="S31" s="852"/>
      <c r="T31" s="852"/>
      <c r="U31" s="852"/>
      <c r="V31" s="852"/>
      <c r="W31" s="852">
        <f>M02S02F22</f>
        <v>0</v>
      </c>
      <c r="X31" s="852"/>
      <c r="Y31" s="852"/>
      <c r="Z31" s="852"/>
      <c r="AA31" s="852"/>
      <c r="AB31" s="852"/>
      <c r="AC31" s="852"/>
      <c r="AD31" s="852"/>
      <c r="AE31" s="852"/>
      <c r="AF31" s="852"/>
      <c r="AG31" s="852"/>
      <c r="AH31" s="852"/>
      <c r="AI31" s="852"/>
      <c r="AJ31" s="852"/>
      <c r="AK31" s="102"/>
      <c r="AR31" s="448"/>
      <c r="CA31" s="154"/>
      <c r="CB31" s="154"/>
    </row>
    <row r="32" spans="2:80" ht="15.95" customHeight="1" x14ac:dyDescent="0.25">
      <c r="B32" s="441"/>
      <c r="I32" s="101"/>
      <c r="J32" s="453"/>
      <c r="K32" s="878"/>
      <c r="L32" s="878"/>
      <c r="M32" s="878"/>
      <c r="N32" s="878"/>
      <c r="O32" s="878"/>
      <c r="P32" s="852"/>
      <c r="Q32" s="852"/>
      <c r="R32" s="852"/>
      <c r="S32" s="852"/>
      <c r="T32" s="852"/>
      <c r="U32" s="852"/>
      <c r="V32" s="852"/>
      <c r="W32" s="852" t="str">
        <f>CONCATENATE(M02S02F23,", ",M02S02F24," ",M02S02F25)</f>
        <v xml:space="preserve">, MO </v>
      </c>
      <c r="X32" s="852"/>
      <c r="Y32" s="852"/>
      <c r="Z32" s="852"/>
      <c r="AA32" s="852"/>
      <c r="AB32" s="852"/>
      <c r="AC32" s="852"/>
      <c r="AD32" s="852"/>
      <c r="AE32" s="852"/>
      <c r="AF32" s="852"/>
      <c r="AG32" s="852"/>
      <c r="AH32" s="852"/>
      <c r="AI32" s="852"/>
      <c r="AJ32" s="852"/>
      <c r="AK32" s="102"/>
      <c r="AR32" s="448"/>
      <c r="CA32" s="43"/>
      <c r="CB32" s="43"/>
    </row>
    <row r="33" spans="2:80" ht="15.95" customHeight="1" x14ac:dyDescent="0.25">
      <c r="B33" s="441"/>
      <c r="I33" s="101"/>
      <c r="J33" s="453"/>
      <c r="K33" s="878"/>
      <c r="L33" s="878"/>
      <c r="M33" s="878"/>
      <c r="N33" s="878"/>
      <c r="O33" s="878"/>
      <c r="P33" s="852"/>
      <c r="Q33" s="852"/>
      <c r="R33" s="852"/>
      <c r="S33" s="852"/>
      <c r="T33" s="852"/>
      <c r="U33" s="852"/>
      <c r="V33" s="852"/>
      <c r="W33" s="852"/>
      <c r="X33" s="852"/>
      <c r="Y33" s="852"/>
      <c r="Z33" s="852"/>
      <c r="AA33" s="852"/>
      <c r="AB33" s="852"/>
      <c r="AC33" s="852"/>
      <c r="AD33" s="852"/>
      <c r="AE33" s="852"/>
      <c r="AF33" s="852"/>
      <c r="AG33" s="852"/>
      <c r="AH33" s="852"/>
      <c r="AI33" s="852"/>
      <c r="AJ33" s="852"/>
      <c r="AK33" s="102"/>
      <c r="AR33" s="448"/>
      <c r="CA33" s="155"/>
      <c r="CB33" s="155"/>
    </row>
    <row r="34" spans="2:80" ht="15.95" customHeight="1" x14ac:dyDescent="0.25">
      <c r="B34" s="441"/>
      <c r="I34" s="101"/>
      <c r="J34" s="453"/>
      <c r="K34" s="878"/>
      <c r="L34" s="878"/>
      <c r="M34" s="878"/>
      <c r="N34" s="878"/>
      <c r="O34" s="878"/>
      <c r="P34" s="873"/>
      <c r="Q34" s="873"/>
      <c r="R34" s="873"/>
      <c r="S34" s="873"/>
      <c r="T34" s="873"/>
      <c r="U34" s="873"/>
      <c r="V34" s="873"/>
      <c r="W34" s="873" t="s">
        <v>1590</v>
      </c>
      <c r="X34" s="873"/>
      <c r="Y34" s="873"/>
      <c r="Z34" s="873"/>
      <c r="AA34" s="873"/>
      <c r="AB34" s="873"/>
      <c r="AC34" s="873"/>
      <c r="AD34" s="873"/>
      <c r="AE34" s="873"/>
      <c r="AF34" s="873"/>
      <c r="AG34" s="873"/>
      <c r="AH34" s="873"/>
      <c r="AI34" s="873"/>
      <c r="AJ34" s="873"/>
      <c r="AK34" s="102"/>
      <c r="AR34" s="448"/>
      <c r="CA34" s="44"/>
      <c r="CB34" s="44"/>
    </row>
    <row r="35" spans="2:80" ht="15.95" customHeight="1" x14ac:dyDescent="0.25">
      <c r="B35" s="441"/>
      <c r="I35" s="101"/>
      <c r="J35" s="453"/>
      <c r="K35" s="878"/>
      <c r="L35" s="878"/>
      <c r="M35" s="878"/>
      <c r="N35" s="878"/>
      <c r="O35" s="878"/>
      <c r="P35" s="852"/>
      <c r="Q35" s="852"/>
      <c r="R35" s="852"/>
      <c r="S35" s="852"/>
      <c r="T35" s="852"/>
      <c r="U35" s="852"/>
      <c r="V35" s="852"/>
      <c r="W35" s="852" t="str">
        <f>CONCATENATE(M02S02F02," ",M02S02F03)</f>
        <v xml:space="preserve"> </v>
      </c>
      <c r="X35" s="852"/>
      <c r="Y35" s="852"/>
      <c r="Z35" s="852"/>
      <c r="AA35" s="852"/>
      <c r="AB35" s="852"/>
      <c r="AC35" s="852"/>
      <c r="AD35" s="852"/>
      <c r="AE35" s="852"/>
      <c r="AF35" s="852"/>
      <c r="AG35" s="852"/>
      <c r="AH35" s="852"/>
      <c r="AI35" s="852"/>
      <c r="AJ35" s="852"/>
      <c r="AK35" s="102"/>
      <c r="AR35" s="448"/>
      <c r="CA35" s="154"/>
      <c r="CB35" s="154"/>
    </row>
    <row r="36" spans="2:80" ht="15.95" customHeight="1" x14ac:dyDescent="0.25">
      <c r="B36" s="441"/>
      <c r="I36" s="101"/>
      <c r="J36" s="453"/>
      <c r="K36" s="878"/>
      <c r="L36" s="878"/>
      <c r="M36" s="878"/>
      <c r="N36" s="878"/>
      <c r="O36" s="878"/>
      <c r="P36" s="852"/>
      <c r="Q36" s="852"/>
      <c r="R36" s="852"/>
      <c r="S36" s="852"/>
      <c r="T36" s="852"/>
      <c r="U36" s="852"/>
      <c r="V36" s="852"/>
      <c r="W36" s="851">
        <f>M02S02F05</f>
        <v>0</v>
      </c>
      <c r="X36" s="851"/>
      <c r="Y36" s="851"/>
      <c r="Z36" s="851"/>
      <c r="AA36" s="851"/>
      <c r="AB36" s="851"/>
      <c r="AC36" s="851"/>
      <c r="AD36" s="851"/>
      <c r="AE36" s="851"/>
      <c r="AF36" s="851"/>
      <c r="AG36" s="851"/>
      <c r="AH36" s="851"/>
      <c r="AI36" s="851"/>
      <c r="AJ36" s="851"/>
      <c r="AK36" s="102"/>
      <c r="AR36" s="448"/>
      <c r="CA36" s="40"/>
      <c r="CB36" s="40"/>
    </row>
    <row r="37" spans="2:80" ht="15.95" customHeight="1" x14ac:dyDescent="0.25">
      <c r="B37" s="441"/>
      <c r="I37" s="101"/>
      <c r="J37" s="453"/>
      <c r="K37" s="454"/>
      <c r="L37" s="454"/>
      <c r="M37" s="454"/>
      <c r="N37" s="454"/>
      <c r="O37" s="454"/>
      <c r="P37" s="852"/>
      <c r="Q37" s="852"/>
      <c r="R37" s="852"/>
      <c r="S37" s="852"/>
      <c r="T37" s="852"/>
      <c r="U37" s="852"/>
      <c r="V37" s="852"/>
      <c r="W37" s="852">
        <f>M02S02F07</f>
        <v>0</v>
      </c>
      <c r="X37" s="852"/>
      <c r="Y37" s="852"/>
      <c r="Z37" s="852"/>
      <c r="AA37" s="852"/>
      <c r="AB37" s="852"/>
      <c r="AC37" s="852"/>
      <c r="AD37" s="852"/>
      <c r="AE37" s="852"/>
      <c r="AF37" s="852"/>
      <c r="AG37" s="852"/>
      <c r="AH37" s="852"/>
      <c r="AI37" s="852"/>
      <c r="AJ37" s="852"/>
      <c r="AK37" s="102"/>
      <c r="AR37" s="448"/>
      <c r="CA37" s="42"/>
      <c r="CB37" s="42"/>
    </row>
    <row r="38" spans="2:80" ht="15.95" customHeight="1" x14ac:dyDescent="0.25">
      <c r="B38" s="441"/>
      <c r="I38" s="101"/>
      <c r="J38" s="59"/>
      <c r="K38" s="59"/>
      <c r="L38" s="59"/>
      <c r="M38" s="59"/>
      <c r="N38" s="59"/>
      <c r="O38" s="59"/>
      <c r="P38" s="124"/>
      <c r="Q38" s="124"/>
      <c r="R38" s="124"/>
      <c r="S38" s="124"/>
      <c r="T38" s="124"/>
      <c r="U38" s="124"/>
      <c r="V38" s="124"/>
      <c r="W38" s="124"/>
      <c r="X38" s="124"/>
      <c r="Y38" s="124"/>
      <c r="Z38" s="124"/>
      <c r="AA38" s="124"/>
      <c r="AB38" s="124"/>
      <c r="AC38" s="124"/>
      <c r="AD38" s="124"/>
      <c r="AE38" s="124"/>
      <c r="AF38" s="124"/>
      <c r="AG38" s="124"/>
      <c r="AH38" s="124"/>
      <c r="AI38" s="124"/>
      <c r="AJ38" s="124"/>
      <c r="AK38" s="102"/>
      <c r="AR38" s="448"/>
      <c r="CA38" s="156"/>
      <c r="CB38" s="156"/>
    </row>
    <row r="39" spans="2:80" ht="15.95" customHeight="1" x14ac:dyDescent="0.25">
      <c r="B39" s="441"/>
      <c r="I39" s="101"/>
      <c r="J39" s="403"/>
      <c r="K39" s="870" t="s">
        <v>1741</v>
      </c>
      <c r="L39" s="870"/>
      <c r="M39" s="870"/>
      <c r="N39" s="870"/>
      <c r="O39" s="870"/>
      <c r="P39" s="849" t="s">
        <v>85</v>
      </c>
      <c r="Q39" s="849"/>
      <c r="R39" s="849"/>
      <c r="S39" s="849"/>
      <c r="T39" s="849"/>
      <c r="U39" s="849"/>
      <c r="V39" s="849"/>
      <c r="W39" s="849" t="s">
        <v>81</v>
      </c>
      <c r="X39" s="849"/>
      <c r="Y39" s="849"/>
      <c r="Z39" s="849"/>
      <c r="AA39" s="849"/>
      <c r="AB39" s="849"/>
      <c r="AC39" s="849"/>
      <c r="AD39" s="849"/>
      <c r="AE39" s="849"/>
      <c r="AF39" s="849"/>
      <c r="AG39" s="849"/>
      <c r="AH39" s="849"/>
      <c r="AI39" s="849"/>
      <c r="AJ39" s="849"/>
      <c r="AK39" s="102"/>
      <c r="AR39" s="448"/>
      <c r="CA39" s="51"/>
      <c r="CB39" s="51"/>
    </row>
    <row r="40" spans="2:80" ht="15.95" customHeight="1" x14ac:dyDescent="0.25">
      <c r="B40" s="441"/>
      <c r="I40" s="101"/>
      <c r="J40" s="403"/>
      <c r="K40" s="870"/>
      <c r="L40" s="870"/>
      <c r="M40" s="870"/>
      <c r="N40" s="870"/>
      <c r="O40" s="870"/>
      <c r="P40" s="850">
        <f>M02S03F02</f>
        <v>0</v>
      </c>
      <c r="Q40" s="850"/>
      <c r="R40" s="850"/>
      <c r="S40" s="850"/>
      <c r="T40" s="850"/>
      <c r="U40" s="850"/>
      <c r="V40" s="850"/>
      <c r="W40" s="850" t="str">
        <f>CONCATENATE(M02S03F03," ",M02S03F04)</f>
        <v xml:space="preserve"> </v>
      </c>
      <c r="X40" s="850"/>
      <c r="Y40" s="850"/>
      <c r="Z40" s="850"/>
      <c r="AA40" s="850"/>
      <c r="AB40" s="850"/>
      <c r="AC40" s="850"/>
      <c r="AD40" s="850"/>
      <c r="AE40" s="850"/>
      <c r="AF40" s="850"/>
      <c r="AG40" s="850"/>
      <c r="AH40" s="850"/>
      <c r="AI40" s="850"/>
      <c r="AJ40" s="850"/>
      <c r="AK40" s="102"/>
      <c r="AR40" s="448"/>
      <c r="CA40" s="48"/>
      <c r="CB40" s="48"/>
    </row>
    <row r="41" spans="2:80" ht="15.95" customHeight="1" x14ac:dyDescent="0.25">
      <c r="B41" s="441"/>
      <c r="I41" s="101"/>
      <c r="J41" s="403"/>
      <c r="K41" s="870"/>
      <c r="L41" s="870"/>
      <c r="M41" s="870"/>
      <c r="N41" s="870"/>
      <c r="O41" s="870"/>
      <c r="P41" s="850"/>
      <c r="Q41" s="850"/>
      <c r="R41" s="850"/>
      <c r="S41" s="850"/>
      <c r="T41" s="850"/>
      <c r="U41" s="850"/>
      <c r="V41" s="850"/>
      <c r="W41" s="868">
        <f>M02S03F06</f>
        <v>0</v>
      </c>
      <c r="X41" s="868"/>
      <c r="Y41" s="868"/>
      <c r="Z41" s="868"/>
      <c r="AA41" s="868"/>
      <c r="AB41" s="868"/>
      <c r="AC41" s="868"/>
      <c r="AD41" s="850"/>
      <c r="AE41" s="850"/>
      <c r="AF41" s="850"/>
      <c r="AG41" s="850"/>
      <c r="AH41" s="850"/>
      <c r="AI41" s="850"/>
      <c r="AJ41" s="850"/>
      <c r="AK41" s="102"/>
      <c r="AR41" s="448"/>
      <c r="CA41" s="45"/>
      <c r="CB41" s="45"/>
    </row>
    <row r="42" spans="2:80" ht="15.95" customHeight="1" x14ac:dyDescent="0.25">
      <c r="B42" s="441"/>
      <c r="I42" s="101"/>
      <c r="J42" s="403"/>
      <c r="K42" s="870"/>
      <c r="L42" s="870"/>
      <c r="M42" s="870"/>
      <c r="N42" s="870"/>
      <c r="O42" s="870"/>
      <c r="P42" s="850"/>
      <c r="Q42" s="850"/>
      <c r="R42" s="850"/>
      <c r="S42" s="850"/>
      <c r="T42" s="850"/>
      <c r="U42" s="850"/>
      <c r="V42" s="850"/>
      <c r="W42" s="850">
        <f>M02S03F08</f>
        <v>0</v>
      </c>
      <c r="X42" s="850"/>
      <c r="Y42" s="850"/>
      <c r="Z42" s="850"/>
      <c r="AA42" s="850"/>
      <c r="AB42" s="850"/>
      <c r="AC42" s="850"/>
      <c r="AD42" s="850"/>
      <c r="AE42" s="850"/>
      <c r="AF42" s="850"/>
      <c r="AG42" s="850"/>
      <c r="AH42" s="850"/>
      <c r="AI42" s="850"/>
      <c r="AJ42" s="850"/>
      <c r="AK42" s="102"/>
      <c r="AR42" s="448"/>
      <c r="CA42" s="46"/>
      <c r="CB42" s="46"/>
    </row>
    <row r="43" spans="2:80" ht="15.95" customHeight="1" x14ac:dyDescent="0.25">
      <c r="B43" s="441"/>
      <c r="I43" s="101"/>
      <c r="J43" s="403"/>
      <c r="K43" s="870"/>
      <c r="L43" s="870"/>
      <c r="M43" s="870"/>
      <c r="N43" s="870"/>
      <c r="O43" s="870"/>
      <c r="P43" s="850"/>
      <c r="Q43" s="850"/>
      <c r="R43" s="850"/>
      <c r="S43" s="850"/>
      <c r="T43" s="850"/>
      <c r="U43" s="850"/>
      <c r="V43" s="850"/>
      <c r="W43" s="850"/>
      <c r="X43" s="850"/>
      <c r="Y43" s="850"/>
      <c r="Z43" s="850"/>
      <c r="AA43" s="850"/>
      <c r="AB43" s="850"/>
      <c r="AC43" s="850"/>
      <c r="AD43" s="850"/>
      <c r="AE43" s="850"/>
      <c r="AF43" s="850"/>
      <c r="AG43" s="850"/>
      <c r="AH43" s="850"/>
      <c r="AI43" s="850"/>
      <c r="AJ43" s="850"/>
      <c r="AK43" s="102"/>
      <c r="AR43" s="448"/>
      <c r="CA43" s="157"/>
      <c r="CB43" s="157"/>
    </row>
    <row r="44" spans="2:80" ht="15.95" customHeight="1" thickBot="1" x14ac:dyDescent="0.3">
      <c r="B44" s="441"/>
      <c r="I44" s="101"/>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102"/>
      <c r="AR44" s="448"/>
      <c r="CA44" s="157"/>
      <c r="CB44" s="157"/>
    </row>
    <row r="45" spans="2:80" ht="15.95" customHeight="1" x14ac:dyDescent="0.25">
      <c r="B45" s="441"/>
      <c r="I45" s="101"/>
      <c r="J45" s="395"/>
      <c r="K45" s="874" t="s">
        <v>1055</v>
      </c>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5"/>
      <c r="AK45" s="102"/>
      <c r="AR45" s="448"/>
      <c r="CA45" s="157"/>
      <c r="CB45" s="157"/>
    </row>
    <row r="46" spans="2:80" ht="15.95" customHeight="1" thickBot="1" x14ac:dyDescent="0.3">
      <c r="B46" s="441"/>
      <c r="I46" s="101"/>
      <c r="J46" s="396"/>
      <c r="K46" s="876"/>
      <c r="L46" s="876"/>
      <c r="M46" s="876"/>
      <c r="N46" s="876"/>
      <c r="O46" s="876"/>
      <c r="P46" s="876"/>
      <c r="Q46" s="876"/>
      <c r="R46" s="876"/>
      <c r="S46" s="876"/>
      <c r="T46" s="876"/>
      <c r="U46" s="876"/>
      <c r="V46" s="876"/>
      <c r="W46" s="876"/>
      <c r="X46" s="876"/>
      <c r="Y46" s="876"/>
      <c r="Z46" s="876"/>
      <c r="AA46" s="876"/>
      <c r="AB46" s="876"/>
      <c r="AC46" s="876"/>
      <c r="AD46" s="876"/>
      <c r="AE46" s="876"/>
      <c r="AF46" s="876"/>
      <c r="AG46" s="876"/>
      <c r="AH46" s="876"/>
      <c r="AI46" s="876"/>
      <c r="AJ46" s="877"/>
      <c r="AK46" s="102"/>
      <c r="AR46" s="448"/>
      <c r="CA46" s="157"/>
      <c r="CB46" s="157"/>
    </row>
    <row r="47" spans="2:80" ht="15.95" customHeight="1" x14ac:dyDescent="0.25">
      <c r="B47" s="441"/>
      <c r="I47" s="101"/>
      <c r="J47" s="382"/>
      <c r="L47" s="383"/>
      <c r="M47" s="383"/>
      <c r="N47" s="383"/>
      <c r="O47" s="383"/>
      <c r="P47" s="384"/>
      <c r="Q47" s="383"/>
      <c r="R47" s="383"/>
      <c r="S47" s="383"/>
      <c r="T47" s="383"/>
      <c r="U47" s="383"/>
      <c r="V47" s="383"/>
      <c r="X47" s="383"/>
      <c r="Y47" s="383"/>
      <c r="Z47" s="383"/>
      <c r="AA47" s="383"/>
      <c r="AB47" s="383"/>
      <c r="AC47" s="383"/>
      <c r="AE47" s="383"/>
      <c r="AF47" s="383"/>
      <c r="AG47" s="383"/>
      <c r="AH47" s="383"/>
      <c r="AI47" s="383"/>
      <c r="AJ47" s="385"/>
      <c r="AK47" s="102"/>
      <c r="AR47" s="448"/>
      <c r="CA47" s="47"/>
      <c r="CB47" s="47"/>
    </row>
    <row r="48" spans="2:80" ht="15.95" customHeight="1" x14ac:dyDescent="0.25">
      <c r="B48" s="441"/>
      <c r="I48" s="101"/>
      <c r="J48" s="386"/>
      <c r="K48" s="882" t="s">
        <v>1799</v>
      </c>
      <c r="L48" s="882"/>
      <c r="M48" s="882"/>
      <c r="N48" s="882"/>
      <c r="O48" s="882"/>
      <c r="P48" s="882"/>
      <c r="Q48" s="387"/>
      <c r="R48" s="387"/>
      <c r="S48" s="387"/>
      <c r="T48" s="882" t="s">
        <v>1057</v>
      </c>
      <c r="U48" s="882"/>
      <c r="V48" s="882"/>
      <c r="W48" s="882"/>
      <c r="X48" s="882"/>
      <c r="Y48" s="882"/>
      <c r="Z48" s="882"/>
      <c r="AA48" s="882"/>
      <c r="AB48" s="388"/>
      <c r="AC48" s="388"/>
      <c r="AD48" s="882" t="s">
        <v>79</v>
      </c>
      <c r="AE48" s="882"/>
      <c r="AF48" s="882"/>
      <c r="AG48" s="882"/>
      <c r="AH48" s="882"/>
      <c r="AI48" s="882"/>
      <c r="AJ48" s="389"/>
      <c r="AK48" s="102"/>
      <c r="AR48" s="448"/>
      <c r="CA48" s="41"/>
      <c r="CB48" s="41"/>
    </row>
    <row r="49" spans="2:80" ht="15.95" customHeight="1" x14ac:dyDescent="0.25">
      <c r="B49" s="441"/>
      <c r="I49" s="101"/>
      <c r="J49" s="386"/>
      <c r="K49" s="882"/>
      <c r="L49" s="882"/>
      <c r="M49" s="882"/>
      <c r="N49" s="882"/>
      <c r="O49" s="882"/>
      <c r="P49" s="882"/>
      <c r="Q49" s="387"/>
      <c r="R49" s="387"/>
      <c r="S49" s="387"/>
      <c r="T49" s="882"/>
      <c r="U49" s="882"/>
      <c r="V49" s="882"/>
      <c r="W49" s="882"/>
      <c r="X49" s="882"/>
      <c r="Y49" s="882"/>
      <c r="Z49" s="882"/>
      <c r="AA49" s="882"/>
      <c r="AB49" s="388"/>
      <c r="AC49" s="388"/>
      <c r="AD49" s="882">
        <f>INCENTOTALCUSE</f>
        <v>0</v>
      </c>
      <c r="AE49" s="882"/>
      <c r="AF49" s="882"/>
      <c r="AG49" s="882"/>
      <c r="AH49" s="882"/>
      <c r="AI49" s="882"/>
      <c r="AJ49" s="389"/>
      <c r="AK49" s="102"/>
      <c r="AR49" s="448"/>
      <c r="CA49" s="158"/>
      <c r="CB49" s="14"/>
    </row>
    <row r="50" spans="2:80" ht="15.95" customHeight="1" x14ac:dyDescent="0.25">
      <c r="B50" s="441"/>
      <c r="I50" s="101"/>
      <c r="J50" s="386"/>
      <c r="K50" s="881">
        <f>KWHTOTALALL</f>
        <v>0</v>
      </c>
      <c r="L50" s="881"/>
      <c r="M50" s="881"/>
      <c r="N50" s="881"/>
      <c r="O50" s="881"/>
      <c r="P50" s="881"/>
      <c r="Q50" s="390"/>
      <c r="R50" s="390"/>
      <c r="S50" s="390"/>
      <c r="T50" s="883">
        <f>COSTTOTALALL</f>
        <v>0</v>
      </c>
      <c r="U50" s="883"/>
      <c r="V50" s="883"/>
      <c r="W50" s="883"/>
      <c r="X50" s="883"/>
      <c r="Y50" s="883"/>
      <c r="Z50" s="883"/>
      <c r="AA50" s="883"/>
      <c r="AB50" s="391"/>
      <c r="AC50" s="391"/>
      <c r="AD50" s="883" t="str">
        <f>INCENSTATUS</f>
        <v>---</v>
      </c>
      <c r="AE50" s="883"/>
      <c r="AF50" s="883"/>
      <c r="AG50" s="883"/>
      <c r="AH50" s="883"/>
      <c r="AI50" s="883"/>
      <c r="AJ50" s="392"/>
      <c r="AK50" s="102"/>
      <c r="AR50" s="448"/>
      <c r="CA50" s="49"/>
      <c r="CB50" s="49"/>
    </row>
    <row r="51" spans="2:80" ht="15.95" customHeight="1" x14ac:dyDescent="0.25">
      <c r="B51" s="441"/>
      <c r="I51" s="101"/>
      <c r="J51" s="386"/>
      <c r="K51" s="881"/>
      <c r="L51" s="881"/>
      <c r="M51" s="881"/>
      <c r="N51" s="881"/>
      <c r="O51" s="881"/>
      <c r="P51" s="881"/>
      <c r="Q51" s="390"/>
      <c r="R51" s="390"/>
      <c r="T51" s="883"/>
      <c r="U51" s="883"/>
      <c r="V51" s="883"/>
      <c r="W51" s="883"/>
      <c r="X51" s="883"/>
      <c r="Y51" s="883"/>
      <c r="Z51" s="883"/>
      <c r="AA51" s="883"/>
      <c r="AB51" s="391"/>
      <c r="AC51" s="391"/>
      <c r="AD51" s="883"/>
      <c r="AE51" s="883"/>
      <c r="AF51" s="883"/>
      <c r="AG51" s="883"/>
      <c r="AH51" s="883"/>
      <c r="AI51" s="883"/>
      <c r="AJ51" s="392"/>
      <c r="AK51" s="102"/>
      <c r="AR51" s="448"/>
      <c r="CA51" s="49"/>
      <c r="CB51" s="49"/>
    </row>
    <row r="52" spans="2:80" ht="15.95" customHeight="1" thickBot="1" x14ac:dyDescent="0.3">
      <c r="B52" s="441"/>
      <c r="I52" s="101"/>
      <c r="J52" s="393"/>
      <c r="K52" s="397"/>
      <c r="L52" s="397"/>
      <c r="M52" s="397"/>
      <c r="N52" s="397"/>
      <c r="O52" s="397"/>
      <c r="P52" s="398"/>
      <c r="Q52" s="398"/>
      <c r="R52" s="398"/>
      <c r="S52" s="399"/>
      <c r="T52" s="399"/>
      <c r="U52" s="399"/>
      <c r="V52" s="399"/>
      <c r="W52" s="399"/>
      <c r="X52" s="399"/>
      <c r="Y52" s="400"/>
      <c r="Z52" s="400"/>
      <c r="AA52" s="400"/>
      <c r="AB52" s="400"/>
      <c r="AC52" s="400"/>
      <c r="AD52" s="400"/>
      <c r="AE52" s="400"/>
      <c r="AF52" s="400"/>
      <c r="AG52" s="400"/>
      <c r="AH52" s="400"/>
      <c r="AI52" s="400"/>
      <c r="AJ52" s="394"/>
      <c r="AK52" s="102"/>
      <c r="AR52" s="448"/>
      <c r="CA52" s="14"/>
      <c r="CB52" s="14"/>
    </row>
    <row r="53" spans="2:80" ht="15.95" customHeight="1" x14ac:dyDescent="0.25">
      <c r="B53" s="441"/>
      <c r="I53" s="101"/>
      <c r="AK53" s="102"/>
      <c r="AR53" s="448"/>
      <c r="CA53" s="14"/>
      <c r="CB53" s="14"/>
    </row>
    <row r="54" spans="2:80" ht="15.95" customHeight="1" x14ac:dyDescent="0.25">
      <c r="B54" s="441"/>
      <c r="I54" s="101"/>
      <c r="K54" s="856" t="s">
        <v>1063</v>
      </c>
      <c r="L54" s="856"/>
      <c r="M54" s="856"/>
      <c r="N54" s="856"/>
      <c r="O54" s="856"/>
      <c r="P54" s="856"/>
      <c r="Q54" s="856"/>
      <c r="R54" s="856"/>
      <c r="S54" s="856"/>
      <c r="T54" s="856"/>
      <c r="U54" s="856"/>
      <c r="V54" s="258"/>
      <c r="W54" s="59"/>
      <c r="Y54" s="856" t="s">
        <v>1058</v>
      </c>
      <c r="Z54" s="856"/>
      <c r="AA54" s="856"/>
      <c r="AB54" s="856"/>
      <c r="AC54" s="856"/>
      <c r="AD54" s="856"/>
      <c r="AE54" s="856"/>
      <c r="AF54" s="856"/>
      <c r="AG54" s="856"/>
      <c r="AH54" s="856"/>
      <c r="AI54" s="856"/>
      <c r="AJ54" s="119"/>
      <c r="AK54" s="102"/>
      <c r="AR54" s="448"/>
      <c r="CA54" s="14"/>
      <c r="CB54" s="14"/>
    </row>
    <row r="55" spans="2:80" ht="15.95" customHeight="1" x14ac:dyDescent="0.25">
      <c r="B55" s="441"/>
      <c r="I55" s="101"/>
      <c r="J55" s="258"/>
      <c r="K55" s="856"/>
      <c r="L55" s="856"/>
      <c r="M55" s="856"/>
      <c r="N55" s="856"/>
      <c r="O55" s="856"/>
      <c r="P55" s="856"/>
      <c r="Q55" s="856"/>
      <c r="R55" s="856"/>
      <c r="S55" s="856"/>
      <c r="T55" s="856"/>
      <c r="U55" s="856"/>
      <c r="V55" s="258"/>
      <c r="W55" s="59"/>
      <c r="X55" s="258"/>
      <c r="Y55" s="856"/>
      <c r="Z55" s="856"/>
      <c r="AA55" s="856"/>
      <c r="AB55" s="856"/>
      <c r="AC55" s="856"/>
      <c r="AD55" s="856"/>
      <c r="AE55" s="856"/>
      <c r="AF55" s="856"/>
      <c r="AG55" s="856"/>
      <c r="AH55" s="856"/>
      <c r="AI55" s="856"/>
      <c r="AJ55" s="258"/>
      <c r="AK55" s="102"/>
      <c r="AR55" s="448"/>
      <c r="CA55" s="159"/>
      <c r="CB55" s="159"/>
    </row>
    <row r="56" spans="2:80" ht="15.95" customHeight="1" x14ac:dyDescent="0.25">
      <c r="B56" s="441"/>
      <c r="I56" s="101"/>
      <c r="J56" s="631" t="s">
        <v>1808</v>
      </c>
      <c r="K56" s="610"/>
      <c r="L56" s="610"/>
      <c r="M56" s="610"/>
      <c r="N56" s="610"/>
      <c r="O56" s="610"/>
      <c r="P56" s="610"/>
      <c r="Q56" s="610"/>
      <c r="R56" s="610"/>
      <c r="S56" s="610"/>
      <c r="T56" s="610"/>
      <c r="U56" s="610"/>
      <c r="V56" s="610"/>
      <c r="Y56" s="888" t="s">
        <v>1059</v>
      </c>
      <c r="Z56" s="888"/>
      <c r="AA56" s="888"/>
      <c r="AB56" s="888"/>
      <c r="AC56" s="888"/>
      <c r="AD56" s="888"/>
      <c r="AE56" s="888"/>
      <c r="AF56" s="888"/>
      <c r="AG56" s="888"/>
      <c r="AH56" s="888"/>
      <c r="AI56" s="888"/>
      <c r="AJ56" s="258"/>
      <c r="AK56" s="102"/>
      <c r="AM56" s="122"/>
      <c r="AR56" s="448"/>
      <c r="CA56" s="159"/>
      <c r="CB56" s="159"/>
    </row>
    <row r="57" spans="2:80" ht="15.95" customHeight="1" x14ac:dyDescent="0.25">
      <c r="B57" s="441"/>
      <c r="I57" s="101"/>
      <c r="J57" s="610"/>
      <c r="K57" s="610"/>
      <c r="L57" s="610"/>
      <c r="M57" s="610"/>
      <c r="N57" s="610"/>
      <c r="O57" s="610"/>
      <c r="P57" s="610"/>
      <c r="Q57" s="610"/>
      <c r="R57" s="610"/>
      <c r="S57" s="610"/>
      <c r="T57" s="610"/>
      <c r="U57" s="610"/>
      <c r="V57" s="610"/>
      <c r="Y57" s="889"/>
      <c r="Z57" s="889"/>
      <c r="AA57" s="889"/>
      <c r="AB57" s="889"/>
      <c r="AC57" s="889"/>
      <c r="AD57" s="889"/>
      <c r="AE57" s="889"/>
      <c r="AF57" s="889"/>
      <c r="AG57" s="889"/>
      <c r="AH57" s="889"/>
      <c r="AI57" s="889"/>
      <c r="AK57" s="102"/>
      <c r="AM57" s="122"/>
      <c r="AR57" s="448"/>
      <c r="CA57" s="160"/>
      <c r="CB57" s="160"/>
    </row>
    <row r="58" spans="2:80" ht="15.95" customHeight="1" x14ac:dyDescent="0.25">
      <c r="B58" s="441"/>
      <c r="I58" s="101"/>
      <c r="J58" s="610"/>
      <c r="K58" s="610"/>
      <c r="L58" s="610"/>
      <c r="M58" s="610"/>
      <c r="N58" s="610"/>
      <c r="O58" s="610"/>
      <c r="P58" s="610"/>
      <c r="Q58" s="610"/>
      <c r="R58" s="610"/>
      <c r="S58" s="610"/>
      <c r="T58" s="610"/>
      <c r="U58" s="610"/>
      <c r="V58" s="610"/>
      <c r="Y58" s="863" t="s">
        <v>1060</v>
      </c>
      <c r="Z58" s="863"/>
      <c r="AA58" s="863"/>
      <c r="AB58" s="863"/>
      <c r="AC58" s="863"/>
      <c r="AD58" s="863"/>
      <c r="AE58" s="863"/>
      <c r="AF58" s="863"/>
      <c r="AG58" s="863"/>
      <c r="AH58" s="863"/>
      <c r="AI58" s="863"/>
      <c r="AK58" s="102"/>
      <c r="AR58" s="448"/>
      <c r="CA58" s="160"/>
      <c r="CB58" s="160"/>
    </row>
    <row r="59" spans="2:80" ht="15.95" customHeight="1" x14ac:dyDescent="0.25">
      <c r="B59" s="441"/>
      <c r="I59" s="101"/>
      <c r="J59" s="610"/>
      <c r="K59" s="610"/>
      <c r="L59" s="610"/>
      <c r="M59" s="610"/>
      <c r="N59" s="610"/>
      <c r="O59" s="610"/>
      <c r="P59" s="610"/>
      <c r="Q59" s="610"/>
      <c r="R59" s="610"/>
      <c r="S59" s="610"/>
      <c r="T59" s="610"/>
      <c r="U59" s="610"/>
      <c r="V59" s="610"/>
      <c r="Y59" s="864"/>
      <c r="Z59" s="864"/>
      <c r="AA59" s="864"/>
      <c r="AB59" s="864"/>
      <c r="AC59" s="864"/>
      <c r="AD59" s="864"/>
      <c r="AE59" s="864"/>
      <c r="AF59" s="864"/>
      <c r="AG59" s="864"/>
      <c r="AH59" s="864"/>
      <c r="AI59" s="864"/>
      <c r="AK59" s="102"/>
      <c r="AR59" s="448"/>
      <c r="CA59" s="160"/>
      <c r="CB59" s="160"/>
    </row>
    <row r="60" spans="2:80" ht="15.95" customHeight="1" x14ac:dyDescent="0.25">
      <c r="B60" s="441"/>
      <c r="I60" s="101"/>
      <c r="J60" s="610"/>
      <c r="K60" s="610"/>
      <c r="L60" s="610"/>
      <c r="M60" s="610"/>
      <c r="N60" s="610"/>
      <c r="O60" s="610"/>
      <c r="P60" s="610"/>
      <c r="Q60" s="610"/>
      <c r="R60" s="610"/>
      <c r="S60" s="610"/>
      <c r="T60" s="610"/>
      <c r="U60" s="610"/>
      <c r="V60" s="610"/>
      <c r="AK60" s="102"/>
      <c r="AR60" s="448"/>
      <c r="CA60" s="160"/>
      <c r="CB60" s="160"/>
    </row>
    <row r="61" spans="2:80" ht="15.95" customHeight="1" x14ac:dyDescent="0.25">
      <c r="B61" s="441"/>
      <c r="I61" s="101"/>
      <c r="J61" s="610"/>
      <c r="K61" s="610"/>
      <c r="L61" s="610"/>
      <c r="M61" s="610"/>
      <c r="N61" s="610"/>
      <c r="O61" s="610"/>
      <c r="P61" s="610"/>
      <c r="Q61" s="610"/>
      <c r="R61" s="610"/>
      <c r="S61" s="610"/>
      <c r="T61" s="610"/>
      <c r="U61" s="610"/>
      <c r="V61" s="610"/>
      <c r="X61" s="892" t="s">
        <v>1061</v>
      </c>
      <c r="Y61" s="892"/>
      <c r="Z61" s="892"/>
      <c r="AA61" s="892"/>
      <c r="AB61" s="892"/>
      <c r="AC61" s="892"/>
      <c r="AD61" s="892"/>
      <c r="AE61" s="892"/>
      <c r="AF61" s="892"/>
      <c r="AG61" s="892"/>
      <c r="AH61" s="892"/>
      <c r="AI61" s="892"/>
      <c r="AJ61" s="892"/>
      <c r="AK61" s="102"/>
      <c r="AR61" s="448"/>
      <c r="CA61" s="161"/>
      <c r="CB61" s="161"/>
    </row>
    <row r="62" spans="2:80" ht="15.95" customHeight="1" x14ac:dyDescent="0.25">
      <c r="B62" s="441"/>
      <c r="I62" s="101"/>
      <c r="K62" s="856" t="s">
        <v>1066</v>
      </c>
      <c r="L62" s="856"/>
      <c r="M62" s="856"/>
      <c r="N62" s="856"/>
      <c r="O62" s="856"/>
      <c r="P62" s="856"/>
      <c r="Q62" s="856"/>
      <c r="R62" s="856"/>
      <c r="S62" s="856"/>
      <c r="T62" s="856"/>
      <c r="U62" s="856"/>
      <c r="V62" s="258"/>
      <c r="X62" s="892"/>
      <c r="Y62" s="892"/>
      <c r="Z62" s="892"/>
      <c r="AA62" s="892"/>
      <c r="AB62" s="892"/>
      <c r="AC62" s="892"/>
      <c r="AD62" s="892"/>
      <c r="AE62" s="892"/>
      <c r="AF62" s="892"/>
      <c r="AG62" s="892"/>
      <c r="AH62" s="892"/>
      <c r="AI62" s="892"/>
      <c r="AJ62" s="892"/>
      <c r="AK62" s="102"/>
      <c r="AR62" s="448"/>
      <c r="CA62" s="162"/>
      <c r="CB62" s="162"/>
    </row>
    <row r="63" spans="2:80" ht="15.95" customHeight="1" x14ac:dyDescent="0.25">
      <c r="B63" s="441"/>
      <c r="I63" s="101"/>
      <c r="J63" s="258"/>
      <c r="K63" s="856"/>
      <c r="L63" s="856"/>
      <c r="M63" s="856"/>
      <c r="N63" s="856"/>
      <c r="O63" s="856"/>
      <c r="P63" s="856"/>
      <c r="Q63" s="856"/>
      <c r="R63" s="856"/>
      <c r="S63" s="856"/>
      <c r="T63" s="856"/>
      <c r="U63" s="856"/>
      <c r="V63" s="258"/>
      <c r="X63" s="892"/>
      <c r="Y63" s="892"/>
      <c r="Z63" s="892"/>
      <c r="AA63" s="892"/>
      <c r="AB63" s="892"/>
      <c r="AC63" s="892"/>
      <c r="AD63" s="892"/>
      <c r="AE63" s="892"/>
      <c r="AF63" s="892"/>
      <c r="AG63" s="892"/>
      <c r="AH63" s="892"/>
      <c r="AI63" s="892"/>
      <c r="AJ63" s="892"/>
      <c r="AK63" s="102"/>
      <c r="AR63" s="448"/>
      <c r="CA63" s="163"/>
      <c r="CB63" s="163"/>
    </row>
    <row r="64" spans="2:80" ht="15.95" customHeight="1" x14ac:dyDescent="0.25">
      <c r="B64" s="441"/>
      <c r="I64" s="101"/>
      <c r="J64" s="631" t="s">
        <v>1809</v>
      </c>
      <c r="K64" s="610"/>
      <c r="L64" s="610"/>
      <c r="M64" s="610"/>
      <c r="N64" s="610"/>
      <c r="O64" s="610"/>
      <c r="P64" s="610"/>
      <c r="Q64" s="610"/>
      <c r="R64" s="610"/>
      <c r="S64" s="610"/>
      <c r="T64" s="610"/>
      <c r="U64" s="610"/>
      <c r="V64" s="610"/>
      <c r="AK64" s="102"/>
      <c r="AR64" s="448"/>
      <c r="CA64" s="163"/>
      <c r="CB64" s="163"/>
    </row>
    <row r="65" spans="2:80" ht="15.95" customHeight="1" x14ac:dyDescent="0.25">
      <c r="B65" s="441"/>
      <c r="I65" s="101"/>
      <c r="J65" s="610"/>
      <c r="K65" s="610"/>
      <c r="L65" s="610"/>
      <c r="M65" s="610"/>
      <c r="N65" s="610"/>
      <c r="O65" s="610"/>
      <c r="P65" s="610"/>
      <c r="Q65" s="610"/>
      <c r="R65" s="610"/>
      <c r="S65" s="610"/>
      <c r="T65" s="610"/>
      <c r="U65" s="610"/>
      <c r="V65" s="610"/>
      <c r="X65" s="122"/>
      <c r="Y65" s="887" t="s">
        <v>1064</v>
      </c>
      <c r="Z65" s="887"/>
      <c r="AA65" s="887"/>
      <c r="AB65" s="887"/>
      <c r="AC65" s="887"/>
      <c r="AD65" s="887"/>
      <c r="AE65" s="887"/>
      <c r="AF65" s="887"/>
      <c r="AG65" s="887"/>
      <c r="AH65" s="887"/>
      <c r="AI65" s="887"/>
      <c r="AJ65" s="122"/>
      <c r="AK65" s="102"/>
      <c r="AR65" s="448"/>
      <c r="CA65" s="163"/>
      <c r="CB65" s="163"/>
    </row>
    <row r="66" spans="2:80" ht="15.95" customHeight="1" x14ac:dyDescent="0.25">
      <c r="B66" s="441"/>
      <c r="I66" s="101"/>
      <c r="J66" s="122"/>
      <c r="K66" s="884" t="s">
        <v>1067</v>
      </c>
      <c r="L66" s="884"/>
      <c r="M66" s="884"/>
      <c r="N66" s="885">
        <f>M02S04F01</f>
        <v>0</v>
      </c>
      <c r="O66" s="885"/>
      <c r="P66" s="885"/>
      <c r="Q66" s="885"/>
      <c r="R66" s="885" t="str">
        <f>IF(ISNUMBER(SEARCH("Bill Credit",N66)), CONCATENATE("Account ",M02S04F06.1), " ")</f>
        <v xml:space="preserve"> </v>
      </c>
      <c r="S66" s="885"/>
      <c r="T66" s="885"/>
      <c r="U66" s="885"/>
      <c r="V66" s="885"/>
      <c r="W66" s="885"/>
      <c r="Y66" s="887"/>
      <c r="Z66" s="887"/>
      <c r="AA66" s="887"/>
      <c r="AB66" s="887"/>
      <c r="AC66" s="887"/>
      <c r="AD66" s="887"/>
      <c r="AE66" s="887"/>
      <c r="AF66" s="887"/>
      <c r="AG66" s="887"/>
      <c r="AH66" s="887"/>
      <c r="AI66" s="887"/>
      <c r="AJ66" s="258"/>
      <c r="AK66" s="102"/>
      <c r="AR66" s="448"/>
      <c r="CA66" s="164"/>
      <c r="CB66" s="164"/>
    </row>
    <row r="67" spans="2:80" ht="15.95" customHeight="1" x14ac:dyDescent="0.25">
      <c r="B67" s="441"/>
      <c r="I67" s="101"/>
      <c r="J67" s="122"/>
      <c r="K67" s="884" t="s">
        <v>1068</v>
      </c>
      <c r="L67" s="884"/>
      <c r="M67" s="884"/>
      <c r="N67" s="885" t="str">
        <f>M02S04F02</f>
        <v/>
      </c>
      <c r="O67" s="885"/>
      <c r="P67" s="885"/>
      <c r="Q67" s="885"/>
      <c r="R67" s="885"/>
      <c r="S67" s="885"/>
      <c r="T67" s="885"/>
      <c r="U67" s="885"/>
      <c r="V67" s="122"/>
      <c r="X67" s="258"/>
      <c r="Y67" s="887"/>
      <c r="Z67" s="887"/>
      <c r="AA67" s="887"/>
      <c r="AB67" s="887"/>
      <c r="AC67" s="887"/>
      <c r="AD67" s="887"/>
      <c r="AE67" s="887"/>
      <c r="AF67" s="887"/>
      <c r="AG67" s="887"/>
      <c r="AH67" s="887"/>
      <c r="AI67" s="887"/>
      <c r="AJ67" s="258"/>
      <c r="AK67" s="102"/>
      <c r="AR67" s="448"/>
      <c r="CA67" s="162"/>
      <c r="CB67" s="162"/>
    </row>
    <row r="68" spans="2:80" ht="15.95" customHeight="1" x14ac:dyDescent="0.25">
      <c r="B68" s="441"/>
      <c r="I68" s="101"/>
      <c r="J68" s="122"/>
      <c r="K68" s="884"/>
      <c r="L68" s="884"/>
      <c r="M68" s="884"/>
      <c r="N68" s="885" t="str">
        <f>CONCATENATE(M02S04F03," ",M02S04F04)</f>
        <v xml:space="preserve"> </v>
      </c>
      <c r="O68" s="885"/>
      <c r="P68" s="885"/>
      <c r="Q68" s="885"/>
      <c r="R68" s="885"/>
      <c r="S68" s="885"/>
      <c r="T68" s="885"/>
      <c r="U68" s="885"/>
      <c r="V68" s="122"/>
      <c r="W68" s="457"/>
      <c r="X68" s="610" t="s">
        <v>1070</v>
      </c>
      <c r="Y68" s="610"/>
      <c r="Z68" s="610"/>
      <c r="AA68" s="610"/>
      <c r="AB68" s="610"/>
      <c r="AC68" s="610"/>
      <c r="AD68" s="610"/>
      <c r="AE68" s="610"/>
      <c r="AF68" s="610"/>
      <c r="AG68" s="610"/>
      <c r="AH68" s="610"/>
      <c r="AI68" s="610"/>
      <c r="AJ68" s="610"/>
      <c r="AK68" s="102"/>
      <c r="AR68" s="448"/>
      <c r="CA68" s="41"/>
      <c r="CB68" s="41"/>
    </row>
    <row r="69" spans="2:80" ht="15.95" customHeight="1" x14ac:dyDescent="0.25">
      <c r="B69" s="441"/>
      <c r="I69" s="101"/>
      <c r="J69" s="122"/>
      <c r="K69" s="884"/>
      <c r="L69" s="884"/>
      <c r="M69" s="884"/>
      <c r="N69" s="885" t="str">
        <f>M02S04F07</f>
        <v/>
      </c>
      <c r="O69" s="885"/>
      <c r="P69" s="885"/>
      <c r="Q69" s="885"/>
      <c r="R69" s="885"/>
      <c r="S69" s="885"/>
      <c r="T69" s="885"/>
      <c r="U69" s="885"/>
      <c r="V69" s="122"/>
      <c r="X69" s="610"/>
      <c r="Y69" s="610"/>
      <c r="Z69" s="610"/>
      <c r="AA69" s="610"/>
      <c r="AB69" s="610"/>
      <c r="AC69" s="610"/>
      <c r="AD69" s="610"/>
      <c r="AE69" s="610"/>
      <c r="AF69" s="610"/>
      <c r="AG69" s="610"/>
      <c r="AH69" s="610"/>
      <c r="AI69" s="610"/>
      <c r="AJ69" s="610"/>
      <c r="AK69" s="102"/>
      <c r="AR69" s="448"/>
      <c r="CA69" s="49"/>
      <c r="CB69" s="49"/>
    </row>
    <row r="70" spans="2:80" ht="15.95" customHeight="1" x14ac:dyDescent="0.25">
      <c r="B70" s="441"/>
      <c r="I70" s="101"/>
      <c r="J70" s="59"/>
      <c r="K70" s="884"/>
      <c r="L70" s="884"/>
      <c r="M70" s="884"/>
      <c r="N70" s="885" t="str">
        <f>CONCATENATE(M02S04F08,", ",M02S04F09," ",M02S04F10)</f>
        <v xml:space="preserve">,  </v>
      </c>
      <c r="O70" s="885"/>
      <c r="P70" s="885"/>
      <c r="Q70" s="885"/>
      <c r="R70" s="885"/>
      <c r="S70" s="885"/>
      <c r="T70" s="885"/>
      <c r="U70" s="885"/>
      <c r="V70" s="59"/>
      <c r="X70" s="610"/>
      <c r="Y70" s="610"/>
      <c r="Z70" s="610"/>
      <c r="AA70" s="610"/>
      <c r="AB70" s="610"/>
      <c r="AC70" s="610"/>
      <c r="AD70" s="610"/>
      <c r="AE70" s="610"/>
      <c r="AF70" s="610"/>
      <c r="AG70" s="610"/>
      <c r="AH70" s="610"/>
      <c r="AI70" s="610"/>
      <c r="AJ70" s="610"/>
      <c r="AK70" s="102"/>
      <c r="AR70" s="448"/>
      <c r="CA70" s="49"/>
      <c r="CB70" s="49"/>
    </row>
    <row r="71" spans="2:80" ht="15.95" customHeight="1" x14ac:dyDescent="0.25">
      <c r="B71" s="441"/>
      <c r="I71" s="101"/>
      <c r="J71" s="59"/>
      <c r="K71" s="884" t="s">
        <v>398</v>
      </c>
      <c r="L71" s="884"/>
      <c r="M71" s="884"/>
      <c r="N71" s="885" t="str">
        <f>CONCATENATE(M02S04F12,"-",M02S04F12.1)</f>
        <v>-</v>
      </c>
      <c r="O71" s="885"/>
      <c r="P71" s="885"/>
      <c r="Q71" s="885"/>
      <c r="R71" s="885"/>
      <c r="S71" s="885"/>
      <c r="T71" s="885"/>
      <c r="U71" s="885"/>
      <c r="V71" s="59"/>
      <c r="X71" s="119"/>
      <c r="Y71" s="52"/>
      <c r="Z71" s="100" t="s">
        <v>1811</v>
      </c>
      <c r="AA71" s="119"/>
      <c r="AB71" s="119"/>
      <c r="AC71" s="119"/>
      <c r="AD71" s="119"/>
      <c r="AE71" s="119"/>
      <c r="AF71" s="119"/>
      <c r="AG71" s="119"/>
      <c r="AH71" s="119"/>
      <c r="AI71" s="119"/>
      <c r="AJ71" s="119"/>
      <c r="AK71" s="102"/>
      <c r="AR71" s="448"/>
      <c r="CA71" s="49"/>
      <c r="CB71" s="49"/>
    </row>
    <row r="72" spans="2:80" ht="15.95" customHeight="1" x14ac:dyDescent="0.25">
      <c r="B72" s="441"/>
      <c r="I72" s="101"/>
      <c r="J72" s="59"/>
      <c r="K72" s="884" t="s">
        <v>1065</v>
      </c>
      <c r="L72" s="884"/>
      <c r="M72" s="884"/>
      <c r="N72" s="885">
        <f>M02S04F11</f>
        <v>0</v>
      </c>
      <c r="O72" s="885"/>
      <c r="P72" s="885"/>
      <c r="Q72" s="885"/>
      <c r="R72" s="885"/>
      <c r="S72" s="885"/>
      <c r="T72" s="885"/>
      <c r="U72" s="885"/>
      <c r="V72" s="59"/>
      <c r="Y72" s="52"/>
      <c r="Z72" s="100" t="s">
        <v>89</v>
      </c>
      <c r="AA72" s="119"/>
      <c r="AB72" s="119"/>
      <c r="AC72" s="119"/>
      <c r="AD72" s="119"/>
      <c r="AE72" s="119"/>
      <c r="AF72" s="119"/>
      <c r="AG72" s="119"/>
      <c r="AH72" s="119"/>
      <c r="AI72" s="119"/>
      <c r="AJ72" s="119"/>
      <c r="AK72" s="102"/>
      <c r="AR72" s="448"/>
      <c r="CA72" s="49"/>
      <c r="CB72" s="49"/>
    </row>
    <row r="73" spans="2:80" ht="15.95" customHeight="1" x14ac:dyDescent="0.25">
      <c r="B73" s="441"/>
      <c r="I73" s="101"/>
      <c r="AK73" s="102"/>
      <c r="AR73" s="448"/>
      <c r="CA73" s="49"/>
      <c r="CB73" s="49"/>
    </row>
    <row r="74" spans="2:80" ht="15.95" customHeight="1" x14ac:dyDescent="0.25">
      <c r="B74" s="441"/>
      <c r="I74" s="101"/>
      <c r="K74" s="509" t="str">
        <f>IF(INCENSTATUS&gt;=10000,"Are you interested in a check presentation?","")</f>
        <v>Are you interested in a check presentation?</v>
      </c>
      <c r="L74" s="509"/>
      <c r="M74" s="509"/>
      <c r="N74" s="509"/>
      <c r="O74" s="509"/>
      <c r="P74" s="509"/>
      <c r="Q74" s="509"/>
      <c r="R74" s="509"/>
      <c r="S74" s="509"/>
      <c r="T74" s="509"/>
      <c r="U74" s="509"/>
      <c r="V74" s="509"/>
      <c r="W74" s="509"/>
      <c r="X74" s="509"/>
      <c r="Y74" s="509"/>
      <c r="Z74" s="509"/>
      <c r="AA74" s="509"/>
      <c r="AB74" s="509"/>
      <c r="AC74" s="509"/>
      <c r="AD74" s="509"/>
      <c r="AE74" s="509"/>
      <c r="AF74" s="509"/>
      <c r="AG74" s="509"/>
      <c r="AH74" s="509"/>
      <c r="AI74" s="509"/>
      <c r="AJ74" s="509"/>
      <c r="AK74" s="102"/>
      <c r="AR74" s="448"/>
      <c r="CA74" s="49"/>
      <c r="CB74" s="49"/>
    </row>
    <row r="75" spans="2:80" ht="15.95" customHeight="1" x14ac:dyDescent="0.25">
      <c r="B75" s="441"/>
      <c r="I75" s="101"/>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09"/>
      <c r="AH75" s="509"/>
      <c r="AI75" s="509"/>
      <c r="AJ75" s="509"/>
      <c r="AK75" s="102"/>
      <c r="AR75" s="448"/>
      <c r="CA75" s="49"/>
      <c r="CB75" s="49"/>
    </row>
    <row r="76" spans="2:80" ht="15.95" customHeight="1" x14ac:dyDescent="0.25">
      <c r="B76" s="441"/>
      <c r="I76" s="101"/>
      <c r="K76" s="891" t="s">
        <v>1586</v>
      </c>
      <c r="L76" s="891"/>
      <c r="M76" s="891"/>
      <c r="N76" s="891"/>
      <c r="O76" s="891"/>
      <c r="P76" s="891"/>
      <c r="Q76" s="891"/>
      <c r="R76" s="891"/>
      <c r="S76" s="891"/>
      <c r="T76" s="891"/>
      <c r="U76" s="891"/>
      <c r="V76" s="891"/>
      <c r="W76" s="891"/>
      <c r="X76" s="891"/>
      <c r="Y76" s="891"/>
      <c r="Z76" s="891"/>
      <c r="AA76" s="891"/>
      <c r="AB76" s="891"/>
      <c r="AC76" s="891"/>
      <c r="AD76" s="891"/>
      <c r="AE76" s="891"/>
      <c r="AF76" s="891"/>
      <c r="AG76" s="891"/>
      <c r="AH76" s="891"/>
      <c r="AI76" s="891"/>
      <c r="AJ76" s="891"/>
      <c r="AK76" s="102"/>
      <c r="AR76" s="448"/>
      <c r="CA76" s="49"/>
      <c r="CB76" s="49"/>
    </row>
    <row r="77" spans="2:80" ht="15.95" customHeight="1" x14ac:dyDescent="0.25">
      <c r="B77" s="441"/>
      <c r="I77" s="101"/>
      <c r="K77" s="891"/>
      <c r="L77" s="891"/>
      <c r="M77" s="891"/>
      <c r="N77" s="891"/>
      <c r="O77" s="891"/>
      <c r="P77" s="891"/>
      <c r="Q77" s="891"/>
      <c r="R77" s="891"/>
      <c r="S77" s="891"/>
      <c r="T77" s="891"/>
      <c r="U77" s="891"/>
      <c r="V77" s="891"/>
      <c r="W77" s="891"/>
      <c r="X77" s="891"/>
      <c r="Y77" s="891"/>
      <c r="Z77" s="891"/>
      <c r="AA77" s="891"/>
      <c r="AB77" s="891"/>
      <c r="AC77" s="891"/>
      <c r="AD77" s="891"/>
      <c r="AE77" s="891"/>
      <c r="AF77" s="891"/>
      <c r="AG77" s="891"/>
      <c r="AH77" s="891"/>
      <c r="AI77" s="891"/>
      <c r="AJ77" s="891"/>
      <c r="AK77" s="102"/>
      <c r="AR77" s="448"/>
      <c r="CA77" s="49"/>
      <c r="CB77" s="49"/>
    </row>
    <row r="78" spans="2:80" ht="15.95" customHeight="1" x14ac:dyDescent="0.25">
      <c r="B78" s="441"/>
      <c r="I78" s="101"/>
      <c r="L78" t="s">
        <v>1585</v>
      </c>
      <c r="AA78" t="s">
        <v>1584</v>
      </c>
      <c r="AK78" s="102"/>
      <c r="AR78" s="448"/>
      <c r="CA78" s="49"/>
      <c r="CB78" s="49"/>
    </row>
    <row r="79" spans="2:80" ht="15.95" customHeight="1" x14ac:dyDescent="0.25">
      <c r="B79" s="441"/>
      <c r="I79" s="101"/>
      <c r="AK79" s="102"/>
      <c r="AR79" s="448"/>
      <c r="CA79" s="49"/>
      <c r="CB79" s="49"/>
    </row>
    <row r="80" spans="2:80" ht="15.95" customHeight="1" x14ac:dyDescent="0.25">
      <c r="B80" s="441"/>
      <c r="I80" s="101"/>
      <c r="J80" s="59"/>
      <c r="K80" s="860" t="s">
        <v>1116</v>
      </c>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102"/>
      <c r="AR80" s="448"/>
      <c r="CA80" s="49"/>
      <c r="CB80" s="49"/>
    </row>
    <row r="81" spans="2:80" ht="15.95" customHeight="1" x14ac:dyDescent="0.25">
      <c r="B81" s="441"/>
      <c r="I81" s="101"/>
      <c r="J81" s="59"/>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102"/>
      <c r="AR81" s="448"/>
      <c r="CA81" s="49"/>
      <c r="CB81" s="49"/>
    </row>
    <row r="82" spans="2:80" ht="15.95" customHeight="1" x14ac:dyDescent="0.25">
      <c r="B82" s="441"/>
      <c r="I82" s="101"/>
      <c r="J82" s="59"/>
      <c r="K82" s="602" t="str">
        <f>IF(OR(M02S02F42="None",M02S02F42=""),"Contact the BizSavers program to discuss how you can save!","Contact your BizSavers representative today to discuss future energy saving opportunities and incentives!")</f>
        <v>Contact the BizSavers program to discuss how you can save!</v>
      </c>
      <c r="L82" s="602"/>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59"/>
      <c r="AK82" s="102"/>
      <c r="AR82" s="448"/>
      <c r="CA82" s="49"/>
      <c r="CB82" s="49"/>
    </row>
    <row r="83" spans="2:80" ht="15.95" customHeight="1" x14ac:dyDescent="0.25">
      <c r="B83" s="441"/>
      <c r="I83" s="101"/>
      <c r="J83" s="172"/>
      <c r="K83" s="619" t="str">
        <f>IF(OR(M02S02F42="None",M02S02F42=""),"866-941-7299","Name")</f>
        <v>866-941-7299</v>
      </c>
      <c r="L83" s="619"/>
      <c r="M83" s="619"/>
      <c r="N83" s="619"/>
      <c r="O83" s="619"/>
      <c r="P83" s="619"/>
      <c r="Q83" s="619"/>
      <c r="R83" s="172"/>
      <c r="S83" s="172"/>
      <c r="T83" s="619" t="str">
        <f>IF(OR(M02S02F42="None",M02S02F42=""),"BizSavers@ameren.com","Phone")</f>
        <v>BizSavers@ameren.com</v>
      </c>
      <c r="U83" s="619"/>
      <c r="V83" s="619"/>
      <c r="W83" s="619"/>
      <c r="X83" s="619"/>
      <c r="Y83" s="619"/>
      <c r="Z83" s="619"/>
      <c r="AA83" s="172"/>
      <c r="AB83" s="172"/>
      <c r="AC83" s="619" t="str">
        <f>IF(OR(M02S02F42="None",M02S02F42=""),"AmerenMissouri.com/BizSavers","Email")</f>
        <v>AmerenMissouri.com/BizSavers</v>
      </c>
      <c r="AD83" s="619"/>
      <c r="AE83" s="619"/>
      <c r="AF83" s="619"/>
      <c r="AG83" s="619"/>
      <c r="AH83" s="619"/>
      <c r="AI83" s="619"/>
      <c r="AJ83" s="173"/>
      <c r="AK83" s="102"/>
      <c r="AR83" s="448"/>
      <c r="CA83" s="49"/>
      <c r="CB83" s="49"/>
    </row>
    <row r="84" spans="2:80" ht="15.95" customHeight="1" x14ac:dyDescent="0.25">
      <c r="B84" s="441"/>
      <c r="I84" s="101"/>
      <c r="J84" s="172"/>
      <c r="K84" s="857">
        <f>M02S02F42</f>
        <v>0</v>
      </c>
      <c r="L84" s="857"/>
      <c r="M84" s="857"/>
      <c r="N84" s="857"/>
      <c r="O84" s="857"/>
      <c r="P84" s="857"/>
      <c r="Q84" s="857"/>
      <c r="R84" s="124"/>
      <c r="S84" s="124"/>
      <c r="T84" s="857" t="str">
        <f>IFERROR(INDEX(BUSDEVELPHONE,MATCH(K84,BUSDEVELNAME,0)),"")</f>
        <v/>
      </c>
      <c r="U84" s="857"/>
      <c r="V84" s="857"/>
      <c r="W84" s="857"/>
      <c r="X84" s="857"/>
      <c r="Y84" s="857"/>
      <c r="Z84" s="857"/>
      <c r="AA84" s="124"/>
      <c r="AB84" s="124"/>
      <c r="AC84" s="858" t="str">
        <f>IFERROR(INDEX(BUSDEVELEMAIL,MATCH(K84,BUSDEVELNAME,0)),"")</f>
        <v/>
      </c>
      <c r="AD84" s="858"/>
      <c r="AE84" s="858"/>
      <c r="AF84" s="858"/>
      <c r="AG84" s="858"/>
      <c r="AH84" s="858"/>
      <c r="AI84" s="858"/>
      <c r="AJ84" s="124"/>
      <c r="AK84" s="102"/>
      <c r="AR84" s="448"/>
      <c r="CA84" s="49"/>
      <c r="CB84" s="49"/>
    </row>
    <row r="85" spans="2:80" ht="15.95" customHeight="1" x14ac:dyDescent="0.25">
      <c r="B85" s="441"/>
      <c r="I85" s="101"/>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02"/>
      <c r="AR85" s="448"/>
      <c r="CA85" s="49"/>
      <c r="CB85" s="49"/>
    </row>
    <row r="86" spans="2:80" ht="15.95" customHeight="1" x14ac:dyDescent="0.25">
      <c r="B86" s="441"/>
      <c r="I86" s="101"/>
      <c r="J86" s="886" t="s">
        <v>1069</v>
      </c>
      <c r="K86" s="886"/>
      <c r="L86" s="886"/>
      <c r="M86" s="886"/>
      <c r="N86" s="886"/>
      <c r="O86" s="886"/>
      <c r="P86" s="886"/>
      <c r="Q86" s="886"/>
      <c r="R86" s="886"/>
      <c r="S86" s="886"/>
      <c r="T86" s="886"/>
      <c r="U86" s="886"/>
      <c r="V86" s="886"/>
      <c r="W86" s="886"/>
      <c r="X86" s="886"/>
      <c r="Y86" s="886"/>
      <c r="Z86" s="886"/>
      <c r="AA86" s="886"/>
      <c r="AB86" s="886"/>
      <c r="AC86" s="886"/>
      <c r="AD86" s="886"/>
      <c r="AE86" s="886"/>
      <c r="AF86" s="886"/>
      <c r="AG86" s="886"/>
      <c r="AH86" s="886"/>
      <c r="AI86" s="886"/>
      <c r="AJ86" s="886"/>
      <c r="AK86" s="102"/>
      <c r="AR86" s="448"/>
      <c r="CA86" s="165"/>
      <c r="CB86" s="165"/>
    </row>
    <row r="87" spans="2:80" ht="15.95" customHeight="1" x14ac:dyDescent="0.25">
      <c r="B87" s="441"/>
      <c r="I87" s="101"/>
      <c r="J87" s="886"/>
      <c r="K87" s="886"/>
      <c r="L87" s="886"/>
      <c r="M87" s="886"/>
      <c r="N87" s="886"/>
      <c r="O87" s="886"/>
      <c r="P87" s="886"/>
      <c r="Q87" s="886"/>
      <c r="R87" s="886"/>
      <c r="S87" s="886"/>
      <c r="T87" s="886"/>
      <c r="U87" s="886"/>
      <c r="V87" s="886"/>
      <c r="W87" s="886"/>
      <c r="X87" s="886"/>
      <c r="Y87" s="886"/>
      <c r="Z87" s="886"/>
      <c r="AA87" s="886"/>
      <c r="AB87" s="886"/>
      <c r="AC87" s="886"/>
      <c r="AD87" s="886"/>
      <c r="AE87" s="886"/>
      <c r="AF87" s="886"/>
      <c r="AG87" s="886"/>
      <c r="AH87" s="886"/>
      <c r="AI87" s="886"/>
      <c r="AJ87" s="886"/>
      <c r="AK87" s="102"/>
      <c r="AR87" s="448"/>
      <c r="CA87" s="166"/>
      <c r="CB87" s="166"/>
    </row>
    <row r="88" spans="2:80" ht="15.95" customHeight="1" x14ac:dyDescent="0.25">
      <c r="B88" s="441"/>
      <c r="I88" s="101"/>
      <c r="J88" s="886"/>
      <c r="K88" s="886"/>
      <c r="L88" s="886"/>
      <c r="M88" s="886"/>
      <c r="N88" s="886"/>
      <c r="O88" s="886"/>
      <c r="P88" s="886"/>
      <c r="Q88" s="886"/>
      <c r="R88" s="886"/>
      <c r="S88" s="886"/>
      <c r="T88" s="886"/>
      <c r="U88" s="886"/>
      <c r="V88" s="886"/>
      <c r="W88" s="886"/>
      <c r="X88" s="886"/>
      <c r="Y88" s="886"/>
      <c r="Z88" s="886"/>
      <c r="AA88" s="886"/>
      <c r="AB88" s="886"/>
      <c r="AC88" s="886"/>
      <c r="AD88" s="886"/>
      <c r="AE88" s="886"/>
      <c r="AF88" s="886"/>
      <c r="AG88" s="886"/>
      <c r="AH88" s="886"/>
      <c r="AI88" s="886"/>
      <c r="AJ88" s="886"/>
      <c r="AK88" s="102"/>
      <c r="AR88" s="448"/>
      <c r="CA88" s="43"/>
      <c r="CB88" s="43"/>
    </row>
    <row r="89" spans="2:80" ht="15.95" customHeight="1" x14ac:dyDescent="0.25">
      <c r="B89" s="441"/>
      <c r="I89" s="101"/>
      <c r="J89" s="886"/>
      <c r="K89" s="886"/>
      <c r="L89" s="886"/>
      <c r="M89" s="886"/>
      <c r="N89" s="886"/>
      <c r="O89" s="886"/>
      <c r="P89" s="886"/>
      <c r="Q89" s="886"/>
      <c r="R89" s="886"/>
      <c r="S89" s="886"/>
      <c r="T89" s="886"/>
      <c r="U89" s="886"/>
      <c r="V89" s="886"/>
      <c r="W89" s="886"/>
      <c r="X89" s="886"/>
      <c r="Y89" s="886"/>
      <c r="Z89" s="886"/>
      <c r="AA89" s="886"/>
      <c r="AB89" s="886"/>
      <c r="AC89" s="886"/>
      <c r="AD89" s="886"/>
      <c r="AE89" s="886"/>
      <c r="AF89" s="886"/>
      <c r="AG89" s="886"/>
      <c r="AH89" s="886"/>
      <c r="AI89" s="886"/>
      <c r="AJ89" s="886"/>
      <c r="AK89" s="102"/>
      <c r="AR89" s="448"/>
      <c r="CA89" s="167"/>
      <c r="CB89" s="167"/>
    </row>
    <row r="90" spans="2:80" ht="15.95" customHeight="1" x14ac:dyDescent="0.25">
      <c r="B90" s="441"/>
      <c r="I90" s="101"/>
      <c r="J90" s="886"/>
      <c r="K90" s="886"/>
      <c r="L90" s="886"/>
      <c r="M90" s="886"/>
      <c r="N90" s="886"/>
      <c r="O90" s="886"/>
      <c r="P90" s="886"/>
      <c r="Q90" s="886"/>
      <c r="R90" s="886"/>
      <c r="S90" s="886"/>
      <c r="T90" s="886"/>
      <c r="U90" s="886"/>
      <c r="V90" s="886"/>
      <c r="W90" s="886"/>
      <c r="X90" s="886"/>
      <c r="Y90" s="886"/>
      <c r="Z90" s="886"/>
      <c r="AA90" s="886"/>
      <c r="AB90" s="886"/>
      <c r="AC90" s="886"/>
      <c r="AD90" s="886"/>
      <c r="AE90" s="886"/>
      <c r="AF90" s="886"/>
      <c r="AG90" s="886"/>
      <c r="AH90" s="886"/>
      <c r="AI90" s="886"/>
      <c r="AJ90" s="886"/>
      <c r="AK90" s="102"/>
      <c r="AR90" s="448"/>
      <c r="CA90" s="168"/>
      <c r="CB90" s="168"/>
    </row>
    <row r="91" spans="2:80" ht="15.95" customHeight="1" x14ac:dyDescent="0.25">
      <c r="B91" s="441"/>
      <c r="I91" s="101"/>
      <c r="J91" s="886"/>
      <c r="K91" s="886"/>
      <c r="L91" s="886"/>
      <c r="M91" s="886"/>
      <c r="N91" s="886"/>
      <c r="O91" s="886"/>
      <c r="P91" s="886"/>
      <c r="Q91" s="886"/>
      <c r="R91" s="886"/>
      <c r="S91" s="886"/>
      <c r="T91" s="886"/>
      <c r="U91" s="886"/>
      <c r="V91" s="886"/>
      <c r="W91" s="886"/>
      <c r="X91" s="886"/>
      <c r="Y91" s="886"/>
      <c r="Z91" s="886"/>
      <c r="AA91" s="886"/>
      <c r="AB91" s="886"/>
      <c r="AC91" s="886"/>
      <c r="AD91" s="886"/>
      <c r="AE91" s="886"/>
      <c r="AF91" s="886"/>
      <c r="AG91" s="886"/>
      <c r="AH91" s="886"/>
      <c r="AI91" s="886"/>
      <c r="AJ91" s="886"/>
      <c r="AK91" s="102"/>
      <c r="AR91" s="448"/>
      <c r="CA91" s="168"/>
      <c r="CB91" s="168"/>
    </row>
    <row r="92" spans="2:80" ht="15.95" customHeight="1" x14ac:dyDescent="0.25">
      <c r="B92" s="441"/>
      <c r="I92" s="101"/>
      <c r="J92" s="886"/>
      <c r="K92" s="886"/>
      <c r="L92" s="886"/>
      <c r="M92" s="886"/>
      <c r="N92" s="886"/>
      <c r="O92" s="886"/>
      <c r="P92" s="886"/>
      <c r="Q92" s="886"/>
      <c r="R92" s="886"/>
      <c r="S92" s="886"/>
      <c r="T92" s="886"/>
      <c r="U92" s="886"/>
      <c r="V92" s="886"/>
      <c r="W92" s="886"/>
      <c r="X92" s="886"/>
      <c r="Y92" s="886"/>
      <c r="Z92" s="886"/>
      <c r="AA92" s="886"/>
      <c r="AB92" s="886"/>
      <c r="AC92" s="886"/>
      <c r="AD92" s="886"/>
      <c r="AE92" s="886"/>
      <c r="AF92" s="886"/>
      <c r="AG92" s="886"/>
      <c r="AH92" s="886"/>
      <c r="AI92" s="886"/>
      <c r="AJ92" s="886"/>
      <c r="AK92" s="102"/>
      <c r="AR92" s="448"/>
      <c r="CA92" s="168"/>
      <c r="CB92" s="168"/>
    </row>
    <row r="93" spans="2:80" ht="15.95" customHeight="1" x14ac:dyDescent="0.25">
      <c r="B93" s="441"/>
      <c r="I93" s="101"/>
      <c r="J93" s="886"/>
      <c r="K93" s="886"/>
      <c r="L93" s="886"/>
      <c r="M93" s="886"/>
      <c r="N93" s="886"/>
      <c r="O93" s="886"/>
      <c r="P93" s="886"/>
      <c r="Q93" s="886"/>
      <c r="R93" s="886"/>
      <c r="S93" s="886"/>
      <c r="T93" s="886"/>
      <c r="U93" s="886"/>
      <c r="V93" s="886"/>
      <c r="W93" s="886"/>
      <c r="X93" s="886"/>
      <c r="Y93" s="886"/>
      <c r="Z93" s="886"/>
      <c r="AA93" s="886"/>
      <c r="AB93" s="886"/>
      <c r="AC93" s="886"/>
      <c r="AD93" s="886"/>
      <c r="AE93" s="886"/>
      <c r="AF93" s="886"/>
      <c r="AG93" s="886"/>
      <c r="AH93" s="886"/>
      <c r="AI93" s="886"/>
      <c r="AJ93" s="886"/>
      <c r="AK93" s="102"/>
      <c r="AR93" s="448"/>
      <c r="CA93" s="44"/>
      <c r="CB93" s="44"/>
    </row>
    <row r="94" spans="2:80" ht="15.95" customHeight="1" x14ac:dyDescent="0.25">
      <c r="B94" s="441"/>
      <c r="I94" s="101"/>
      <c r="J94" s="862" t="s">
        <v>1062</v>
      </c>
      <c r="K94" s="862"/>
      <c r="L94" s="862"/>
      <c r="M94" s="862"/>
      <c r="N94" s="862"/>
      <c r="O94" s="862"/>
      <c r="P94" s="862"/>
      <c r="Q94" s="862"/>
      <c r="R94" s="862"/>
      <c r="S94" s="862"/>
      <c r="T94" s="862"/>
      <c r="U94" s="862"/>
      <c r="V94" s="862"/>
      <c r="W94" s="862"/>
      <c r="X94" s="862"/>
      <c r="Y94" s="862"/>
      <c r="Z94" s="862"/>
      <c r="AA94" s="862"/>
      <c r="AB94" s="862"/>
      <c r="AC94" s="862"/>
      <c r="AD94" s="862"/>
      <c r="AE94" s="862"/>
      <c r="AF94" s="862"/>
      <c r="AG94" s="862"/>
      <c r="AH94" s="862"/>
      <c r="AI94" s="862"/>
      <c r="AJ94" s="862"/>
      <c r="AK94" s="102"/>
      <c r="AR94" s="448"/>
      <c r="CA94" s="169"/>
      <c r="CB94" s="169"/>
    </row>
    <row r="95" spans="2:80" ht="15.95" customHeight="1" x14ac:dyDescent="0.25">
      <c r="B95" s="441"/>
      <c r="I95" s="101"/>
      <c r="J95" s="862"/>
      <c r="K95" s="862"/>
      <c r="L95" s="862"/>
      <c r="M95" s="862"/>
      <c r="N95" s="862"/>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102"/>
      <c r="AR95" s="448"/>
      <c r="CA95" s="170"/>
      <c r="CB95" s="170"/>
    </row>
    <row r="96" spans="2:80" ht="15.95" customHeight="1" x14ac:dyDescent="0.25">
      <c r="B96" s="441"/>
      <c r="I96" s="103"/>
      <c r="J96" s="104"/>
      <c r="K96" s="105"/>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7"/>
      <c r="AR96" s="448"/>
      <c r="CA96" s="170"/>
      <c r="CB96" s="15" t="s">
        <v>88</v>
      </c>
    </row>
    <row r="97" spans="2:80" ht="15.95" customHeight="1" x14ac:dyDescent="0.25">
      <c r="B97" s="441"/>
      <c r="J97" s="30"/>
      <c r="K97" s="31"/>
      <c r="AR97" s="448"/>
      <c r="CA97" s="170"/>
      <c r="CB97" s="15"/>
    </row>
    <row r="98" spans="2:80" ht="15.95" hidden="1" customHeight="1" x14ac:dyDescent="0.25">
      <c r="CA98" s="170"/>
      <c r="CB98" s="15"/>
    </row>
    <row r="99" spans="2:80" ht="15.95" hidden="1" customHeight="1" x14ac:dyDescent="0.25">
      <c r="CA99" s="170"/>
      <c r="CB99" s="15"/>
    </row>
    <row r="100" spans="2:80" ht="15.95" hidden="1" customHeight="1" x14ac:dyDescent="0.25">
      <c r="CA100" s="170"/>
      <c r="CB100" s="15"/>
    </row>
    <row r="101" spans="2:80" ht="15.95" hidden="1" customHeight="1" x14ac:dyDescent="0.25">
      <c r="CA101" s="170"/>
      <c r="CB101" s="15"/>
    </row>
    <row r="102" spans="2:80" ht="15.95" hidden="1" customHeight="1" x14ac:dyDescent="0.25">
      <c r="CA102" s="170"/>
      <c r="CB102" s="15"/>
    </row>
    <row r="103" spans="2:80" ht="15.95" hidden="1" customHeight="1" x14ac:dyDescent="0.25">
      <c r="CA103" s="170"/>
      <c r="CB103" s="15"/>
    </row>
    <row r="104" spans="2:80" ht="15.95" hidden="1" customHeight="1" x14ac:dyDescent="0.25">
      <c r="CA104" s="170"/>
      <c r="CB104" s="15"/>
    </row>
    <row r="105" spans="2:80" ht="15.95" hidden="1" customHeight="1" x14ac:dyDescent="0.25">
      <c r="CA105" s="170"/>
      <c r="CB105" s="15"/>
    </row>
    <row r="106" spans="2:80" ht="15.95" hidden="1" customHeight="1" x14ac:dyDescent="0.25">
      <c r="CA106" s="170"/>
      <c r="CB106" s="15"/>
    </row>
    <row r="107" spans="2:80" ht="15.95" hidden="1" customHeight="1" x14ac:dyDescent="0.25">
      <c r="CA107" s="170"/>
      <c r="CB107" s="15"/>
    </row>
    <row r="108" spans="2:80" ht="15.95" hidden="1" customHeight="1" x14ac:dyDescent="0.25">
      <c r="CA108" s="170"/>
      <c r="CB108" s="15"/>
    </row>
    <row r="109" spans="2:80" ht="15.95" hidden="1" customHeight="1" x14ac:dyDescent="0.25">
      <c r="CA109" s="170"/>
      <c r="CB109" s="15"/>
    </row>
    <row r="110" spans="2:80" ht="15.95" hidden="1" customHeight="1" x14ac:dyDescent="0.25">
      <c r="CA110" s="170"/>
      <c r="CB110" s="15"/>
    </row>
    <row r="111" spans="2:80" ht="15.95" hidden="1" customHeight="1" x14ac:dyDescent="0.25">
      <c r="CA111" s="170"/>
      <c r="CB111" s="15"/>
    </row>
    <row r="112" spans="2:80" ht="15.95" hidden="1" customHeight="1" x14ac:dyDescent="0.25">
      <c r="CA112" s="170"/>
      <c r="CB112" s="15"/>
    </row>
    <row r="113" spans="79:80" ht="15.95" hidden="1" customHeight="1" x14ac:dyDescent="0.25">
      <c r="CA113" s="170"/>
      <c r="CB113" s="15"/>
    </row>
    <row r="114" spans="79:80" ht="15.95" hidden="1" customHeight="1" x14ac:dyDescent="0.25">
      <c r="CA114" s="170"/>
      <c r="CB114" s="15"/>
    </row>
    <row r="115" spans="79:80" ht="15.95" hidden="1" customHeight="1" x14ac:dyDescent="0.25">
      <c r="CA115" s="170"/>
      <c r="CB115" s="15"/>
    </row>
    <row r="116" spans="79:80" ht="15.95" hidden="1" customHeight="1" x14ac:dyDescent="0.25">
      <c r="CA116" s="170"/>
      <c r="CB116" s="15"/>
    </row>
    <row r="117" spans="79:80" ht="15.95" hidden="1" customHeight="1" x14ac:dyDescent="0.25">
      <c r="CA117" s="170"/>
      <c r="CB117" s="15"/>
    </row>
    <row r="118" spans="79:80" ht="15.95" hidden="1" customHeight="1" x14ac:dyDescent="0.25">
      <c r="CA118" s="170"/>
      <c r="CB118" s="15"/>
    </row>
    <row r="119" spans="79:80" ht="15.95" hidden="1" customHeight="1" x14ac:dyDescent="0.25">
      <c r="CA119" s="170"/>
      <c r="CB119" s="15"/>
    </row>
    <row r="120" spans="79:80" ht="15.95" hidden="1" customHeight="1" x14ac:dyDescent="0.25">
      <c r="CA120" s="170"/>
      <c r="CB120" s="15"/>
    </row>
    <row r="121" spans="79:80" ht="15.95" hidden="1" customHeight="1" x14ac:dyDescent="0.25">
      <c r="CA121" s="170"/>
      <c r="CB121" s="15"/>
    </row>
    <row r="122" spans="79:80" ht="15.95" hidden="1" customHeight="1" x14ac:dyDescent="0.25">
      <c r="CA122" s="170"/>
      <c r="CB122" s="15"/>
    </row>
    <row r="123" spans="79:80" ht="15.95" hidden="1" customHeight="1" x14ac:dyDescent="0.25">
      <c r="CA123" s="170"/>
      <c r="CB123" s="15"/>
    </row>
    <row r="124" spans="79:80" ht="15.95" hidden="1" customHeight="1" x14ac:dyDescent="0.25">
      <c r="CA124" s="170"/>
      <c r="CB124" s="15"/>
    </row>
    <row r="125" spans="79:80" ht="15.95" hidden="1" customHeight="1" x14ac:dyDescent="0.25">
      <c r="CA125" s="170"/>
      <c r="CB125" s="15"/>
    </row>
    <row r="126" spans="79:80" ht="15.95" hidden="1" customHeight="1" x14ac:dyDescent="0.25">
      <c r="CA126" s="170"/>
      <c r="CB126" s="15"/>
    </row>
    <row r="127" spans="79:80" ht="15.95" hidden="1" customHeight="1" x14ac:dyDescent="0.25">
      <c r="CA127" s="170"/>
      <c r="CB127" s="15"/>
    </row>
    <row r="128" spans="79:80" ht="15.95" hidden="1" customHeight="1" x14ac:dyDescent="0.25">
      <c r="CA128" s="170"/>
      <c r="CB128" s="15"/>
    </row>
    <row r="129" spans="79:80" ht="15.95" hidden="1" customHeight="1" x14ac:dyDescent="0.25">
      <c r="CA129" s="170"/>
      <c r="CB129" s="15"/>
    </row>
    <row r="130" spans="79:80" ht="15.95" hidden="1" customHeight="1" x14ac:dyDescent="0.25">
      <c r="CA130" s="170"/>
      <c r="CB130" s="15"/>
    </row>
    <row r="131" spans="79:80" ht="15.95" hidden="1" customHeight="1" x14ac:dyDescent="0.25">
      <c r="CA131" s="170"/>
      <c r="CB131" s="15"/>
    </row>
    <row r="132" spans="79:80" ht="15.95" hidden="1" customHeight="1" x14ac:dyDescent="0.25">
      <c r="CA132" s="170"/>
      <c r="CB132" s="15"/>
    </row>
    <row r="133" spans="79:80" ht="15.95" hidden="1" customHeight="1" x14ac:dyDescent="0.25">
      <c r="CA133" s="170"/>
      <c r="CB133" s="15"/>
    </row>
    <row r="134" spans="79:80" ht="15.95" hidden="1" customHeight="1" x14ac:dyDescent="0.25">
      <c r="CA134" s="170"/>
      <c r="CB134" s="15"/>
    </row>
    <row r="135" spans="79:80" ht="15.95" hidden="1" customHeight="1" x14ac:dyDescent="0.25">
      <c r="CA135" s="170"/>
      <c r="CB135" s="15"/>
    </row>
    <row r="136" spans="79:80" ht="15.95" hidden="1" customHeight="1" x14ac:dyDescent="0.25">
      <c r="CA136" s="170"/>
      <c r="CB136" s="15"/>
    </row>
    <row r="137" spans="79:80" ht="15.95" hidden="1" customHeight="1" x14ac:dyDescent="0.25">
      <c r="CA137" s="170"/>
      <c r="CB137" s="15"/>
    </row>
    <row r="138" spans="79:80" ht="15.95" hidden="1" customHeight="1" x14ac:dyDescent="0.25">
      <c r="CA138" s="170"/>
      <c r="CB138" s="15"/>
    </row>
    <row r="139" spans="79:80" ht="15.95" hidden="1" customHeight="1" x14ac:dyDescent="0.25">
      <c r="CA139" s="170"/>
      <c r="CB139" s="15"/>
    </row>
    <row r="140" spans="79:80" ht="15.95" hidden="1" customHeight="1" x14ac:dyDescent="0.25">
      <c r="CA140" s="170"/>
      <c r="CB140" s="15"/>
    </row>
    <row r="141" spans="79:80" ht="15.95" hidden="1" customHeight="1" x14ac:dyDescent="0.25">
      <c r="CA141" s="170"/>
      <c r="CB141" s="15"/>
    </row>
    <row r="142" spans="79:80" ht="15.95" hidden="1" customHeight="1" x14ac:dyDescent="0.25">
      <c r="CA142" s="170"/>
      <c r="CB142" s="15"/>
    </row>
    <row r="143" spans="79:80" ht="15.95" hidden="1" customHeight="1" x14ac:dyDescent="0.25">
      <c r="CA143" s="170"/>
      <c r="CB143" s="15"/>
    </row>
    <row r="144" spans="79:80" ht="15.95" hidden="1" customHeight="1" x14ac:dyDescent="0.25">
      <c r="CA144" s="170"/>
      <c r="CB144" s="15"/>
    </row>
    <row r="145" spans="79:80" ht="15.95" hidden="1" customHeight="1" x14ac:dyDescent="0.25">
      <c r="CA145" s="170"/>
      <c r="CB145" s="15"/>
    </row>
    <row r="146" spans="79:80" ht="15.95" hidden="1" customHeight="1" x14ac:dyDescent="0.25">
      <c r="CA146" s="170"/>
      <c r="CB146" s="15"/>
    </row>
    <row r="147" spans="79:80" ht="15.95" hidden="1" customHeight="1" x14ac:dyDescent="0.25">
      <c r="CA147" s="170"/>
      <c r="CB147" s="15"/>
    </row>
    <row r="148" spans="79:80" ht="15.95" hidden="1" customHeight="1" x14ac:dyDescent="0.25">
      <c r="CA148" s="170"/>
      <c r="CB148" s="15"/>
    </row>
    <row r="149" spans="79:80" ht="15.95" hidden="1" customHeight="1" x14ac:dyDescent="0.25">
      <c r="CA149" s="170"/>
      <c r="CB149" s="15"/>
    </row>
    <row r="150" spans="79:80" ht="15.95" hidden="1" customHeight="1" x14ac:dyDescent="0.25">
      <c r="CA150" s="170"/>
      <c r="CB150" s="15"/>
    </row>
    <row r="151" spans="79:80" ht="15.95" hidden="1" customHeight="1" x14ac:dyDescent="0.25">
      <c r="CA151" s="170"/>
      <c r="CB151" s="15"/>
    </row>
    <row r="152" spans="79:80" ht="15.95" hidden="1" customHeight="1" x14ac:dyDescent="0.25">
      <c r="CA152" s="170"/>
      <c r="CB152" s="15"/>
    </row>
    <row r="153" spans="79:80" ht="15.95" hidden="1" customHeight="1" x14ac:dyDescent="0.25">
      <c r="CA153" s="170"/>
      <c r="CB153" s="15"/>
    </row>
    <row r="154" spans="79:80" ht="15.95" hidden="1" customHeight="1" x14ac:dyDescent="0.25">
      <c r="CA154" s="170"/>
      <c r="CB154" s="15"/>
    </row>
    <row r="155" spans="79:80" ht="15.95" hidden="1" customHeight="1" x14ac:dyDescent="0.25">
      <c r="CA155" s="170"/>
      <c r="CB155" s="15"/>
    </row>
    <row r="156" spans="79:80" ht="15.95" hidden="1" customHeight="1" x14ac:dyDescent="0.25">
      <c r="CA156" s="170"/>
      <c r="CB156" s="15"/>
    </row>
    <row r="157" spans="79:80" ht="15.95" hidden="1" customHeight="1" x14ac:dyDescent="0.25">
      <c r="CA157" s="170"/>
      <c r="CB157" s="15"/>
    </row>
    <row r="158" spans="79:80" ht="15.95" hidden="1" customHeight="1" x14ac:dyDescent="0.25">
      <c r="CA158" s="170"/>
      <c r="CB158" s="15"/>
    </row>
    <row r="159" spans="79:80" ht="15.95" hidden="1" customHeight="1" x14ac:dyDescent="0.25">
      <c r="CA159" s="170"/>
      <c r="CB159" s="15"/>
    </row>
    <row r="160" spans="79:80" ht="15.95" hidden="1" customHeight="1" x14ac:dyDescent="0.25">
      <c r="CA160" s="170"/>
      <c r="CB160" s="15"/>
    </row>
    <row r="161" spans="79:80" ht="15.95" hidden="1" customHeight="1" x14ac:dyDescent="0.25">
      <c r="CA161" s="170"/>
      <c r="CB161" s="15"/>
    </row>
    <row r="162" spans="79:80" ht="15.95" hidden="1" customHeight="1" x14ac:dyDescent="0.25">
      <c r="CA162" s="170"/>
      <c r="CB162" s="15"/>
    </row>
    <row r="163" spans="79:80" ht="15.95" hidden="1" customHeight="1" x14ac:dyDescent="0.25">
      <c r="CA163" s="170"/>
      <c r="CB163" s="15"/>
    </row>
    <row r="164" spans="79:80" ht="15.95" hidden="1" customHeight="1" x14ac:dyDescent="0.25">
      <c r="CA164" s="170"/>
      <c r="CB164" s="15"/>
    </row>
    <row r="165" spans="79:80" ht="15.95" hidden="1" customHeight="1" x14ac:dyDescent="0.25">
      <c r="CA165" s="170"/>
      <c r="CB165" s="15"/>
    </row>
    <row r="166" spans="79:80" ht="15.95" hidden="1" customHeight="1" x14ac:dyDescent="0.25">
      <c r="CA166" s="170"/>
      <c r="CB166" s="15"/>
    </row>
    <row r="167" spans="79:80" ht="15.95" hidden="1" customHeight="1" x14ac:dyDescent="0.25">
      <c r="CA167" s="170"/>
      <c r="CB167" s="15"/>
    </row>
    <row r="168" spans="79:80" ht="15.95" hidden="1" customHeight="1" x14ac:dyDescent="0.25">
      <c r="CA168" s="170"/>
      <c r="CB168" s="15"/>
    </row>
    <row r="169" spans="79:80" ht="15.95" hidden="1" customHeight="1" x14ac:dyDescent="0.25">
      <c r="CA169" s="170"/>
      <c r="CB169" s="15"/>
    </row>
    <row r="170" spans="79:80" ht="15.95" hidden="1" customHeight="1" x14ac:dyDescent="0.25">
      <c r="CA170" s="170"/>
      <c r="CB170" s="15"/>
    </row>
    <row r="171" spans="79:80" ht="15.95" hidden="1" customHeight="1" x14ac:dyDescent="0.25">
      <c r="CA171" s="170"/>
      <c r="CB171" s="15"/>
    </row>
    <row r="172" spans="79:80" ht="15.95" hidden="1" customHeight="1" x14ac:dyDescent="0.25">
      <c r="CA172" s="170"/>
      <c r="CB172" s="15"/>
    </row>
    <row r="173" spans="79:80" ht="15.95" hidden="1" customHeight="1" x14ac:dyDescent="0.25">
      <c r="CA173" s="170"/>
      <c r="CB173" s="15"/>
    </row>
    <row r="174" spans="79:80" ht="15.95" hidden="1" customHeight="1" x14ac:dyDescent="0.25">
      <c r="CA174" s="170"/>
      <c r="CB174" s="15"/>
    </row>
    <row r="175" spans="79:80" ht="15.95" hidden="1" customHeight="1" x14ac:dyDescent="0.25">
      <c r="CA175" s="170"/>
      <c r="CB175" s="15"/>
    </row>
    <row r="176" spans="79:80" ht="15.95" hidden="1" customHeight="1" x14ac:dyDescent="0.25">
      <c r="CA176" s="170"/>
      <c r="CB176" s="15"/>
    </row>
    <row r="177" spans="79:80" ht="15.95" hidden="1" customHeight="1" x14ac:dyDescent="0.25">
      <c r="CA177" s="170"/>
      <c r="CB177" s="15"/>
    </row>
    <row r="178" spans="79:80" ht="15.95" hidden="1" customHeight="1" x14ac:dyDescent="0.25">
      <c r="CA178" s="170"/>
      <c r="CB178" s="15"/>
    </row>
    <row r="179" spans="79:80" ht="15.95" hidden="1" customHeight="1" x14ac:dyDescent="0.25">
      <c r="CA179" s="170"/>
      <c r="CB179" s="15"/>
    </row>
    <row r="180" spans="79:80" ht="15.95" hidden="1" customHeight="1" x14ac:dyDescent="0.25">
      <c r="CA180" s="170"/>
      <c r="CB180" s="15"/>
    </row>
    <row r="181" spans="79:80" ht="15.95" hidden="1" customHeight="1" x14ac:dyDescent="0.25">
      <c r="CA181" s="170"/>
      <c r="CB181" s="15"/>
    </row>
    <row r="182" spans="79:80" ht="15.95" hidden="1" customHeight="1" x14ac:dyDescent="0.25">
      <c r="CA182" s="170"/>
      <c r="CB182" s="15"/>
    </row>
    <row r="183" spans="79:80" ht="15.95" hidden="1" customHeight="1" x14ac:dyDescent="0.25">
      <c r="CA183" s="170"/>
      <c r="CB183" s="15"/>
    </row>
    <row r="184" spans="79:80" ht="15.95" hidden="1" customHeight="1" x14ac:dyDescent="0.25">
      <c r="CA184" s="170"/>
      <c r="CB184" s="15"/>
    </row>
    <row r="185" spans="79:80" ht="15.95" hidden="1" customHeight="1" x14ac:dyDescent="0.25">
      <c r="CA185" s="170"/>
      <c r="CB185" s="15"/>
    </row>
    <row r="186" spans="79:80" ht="15.95" hidden="1" customHeight="1" x14ac:dyDescent="0.25">
      <c r="CA186" s="170"/>
      <c r="CB186" s="15"/>
    </row>
    <row r="187" spans="79:80" ht="15.95" hidden="1" customHeight="1" x14ac:dyDescent="0.25">
      <c r="CA187" s="170"/>
      <c r="CB187" s="15"/>
    </row>
    <row r="188" spans="79:80" ht="15.95" hidden="1" customHeight="1" x14ac:dyDescent="0.25">
      <c r="CA188" s="170"/>
      <c r="CB188" s="15"/>
    </row>
    <row r="189" spans="79:80" ht="15.95" hidden="1" customHeight="1" x14ac:dyDescent="0.25">
      <c r="CA189" s="170"/>
      <c r="CB189" s="15"/>
    </row>
    <row r="190" spans="79:80" ht="15.95" hidden="1" customHeight="1" x14ac:dyDescent="0.25">
      <c r="CA190" s="170"/>
      <c r="CB190" s="15"/>
    </row>
    <row r="191" spans="79:80" ht="15.95" hidden="1" customHeight="1" x14ac:dyDescent="0.25">
      <c r="CA191" s="170"/>
      <c r="CB191" s="15"/>
    </row>
    <row r="192" spans="79:80" ht="15.95" hidden="1" customHeight="1" x14ac:dyDescent="0.25">
      <c r="CA192" s="170"/>
      <c r="CB192" s="15"/>
    </row>
    <row r="193" spans="2:80" ht="15.95" hidden="1" customHeight="1" x14ac:dyDescent="0.25">
      <c r="CA193" s="170"/>
      <c r="CB193" s="15"/>
    </row>
    <row r="194" spans="2:80" ht="15.95" hidden="1" customHeight="1" x14ac:dyDescent="0.25">
      <c r="CA194" s="170"/>
      <c r="CB194" s="15"/>
    </row>
    <row r="195" spans="2:80" ht="15.75" hidden="1" customHeight="1" x14ac:dyDescent="0.25">
      <c r="CA195" s="170"/>
      <c r="CB195" s="15"/>
    </row>
    <row r="196" spans="2:80" ht="15.95" hidden="1" customHeight="1" x14ac:dyDescent="0.25">
      <c r="CA196" s="170"/>
      <c r="CB196" s="15"/>
    </row>
    <row r="197" spans="2:80" ht="15.75" hidden="1" customHeight="1" x14ac:dyDescent="0.25">
      <c r="CA197" s="170"/>
      <c r="CB197" s="15"/>
    </row>
    <row r="198" spans="2:80" ht="15.95" hidden="1" customHeight="1" x14ac:dyDescent="0.25">
      <c r="CA198" s="170"/>
      <c r="CB198" s="15"/>
    </row>
    <row r="199" spans="2:80" ht="15.95" hidden="1" customHeight="1" x14ac:dyDescent="0.25">
      <c r="CA199" s="170"/>
      <c r="CB199" s="15"/>
    </row>
    <row r="200" spans="2:80" ht="15.95" customHeight="1" x14ac:dyDescent="0.25">
      <c r="B200" s="332"/>
      <c r="C200" s="332"/>
      <c r="D200" s="335"/>
      <c r="E200" s="332"/>
      <c r="F200" s="335"/>
      <c r="G200" s="335"/>
      <c r="H200" s="335"/>
      <c r="I200" s="335"/>
      <c r="J200" s="335"/>
      <c r="K200" s="335"/>
      <c r="L200" s="335"/>
      <c r="M200" s="335"/>
      <c r="N200" s="335"/>
      <c r="O200" s="335"/>
      <c r="P200" s="335"/>
      <c r="Q200" s="335"/>
      <c r="R200" s="335"/>
      <c r="S200" s="335"/>
      <c r="T200" s="335"/>
      <c r="U200" s="335"/>
      <c r="V200" s="335"/>
      <c r="W200" s="334"/>
      <c r="X200" s="336"/>
      <c r="Y200" s="335"/>
      <c r="Z200" s="335"/>
      <c r="AA200" s="335"/>
      <c r="AB200" s="335"/>
      <c r="AC200" s="335"/>
      <c r="AD200" s="335"/>
      <c r="AE200" s="335"/>
      <c r="AF200" s="335"/>
      <c r="AG200" s="335"/>
      <c r="AH200" s="335"/>
      <c r="AI200" s="335"/>
      <c r="AJ200" s="335"/>
      <c r="AK200" s="334"/>
      <c r="AL200" s="337"/>
      <c r="AM200" s="337"/>
      <c r="AN200" s="337"/>
      <c r="AO200" s="337"/>
      <c r="AP200" s="337"/>
      <c r="AQ200" s="337"/>
      <c r="AR200" s="332"/>
      <c r="CA200" s="170"/>
      <c r="CB200" s="15"/>
    </row>
    <row r="201" spans="2:80" ht="15.75" customHeight="1" x14ac:dyDescent="0.35">
      <c r="B201" s="332"/>
      <c r="C201" s="332"/>
      <c r="D201" s="335"/>
      <c r="E201" s="332"/>
      <c r="F201" s="335"/>
      <c r="G201" s="335"/>
      <c r="H201" s="335"/>
      <c r="I201" s="335"/>
      <c r="J201" s="335"/>
      <c r="K201" s="335"/>
      <c r="L201" s="335"/>
      <c r="M201" s="335"/>
      <c r="N201" s="335"/>
      <c r="O201" s="335"/>
      <c r="P201" s="335"/>
      <c r="Q201" s="335"/>
      <c r="R201" s="335"/>
      <c r="S201" s="335"/>
      <c r="T201" s="332"/>
      <c r="U201" s="332"/>
      <c r="V201" s="332"/>
      <c r="W201" s="332"/>
      <c r="X201" s="332"/>
      <c r="Y201" s="335"/>
      <c r="Z201" s="335"/>
      <c r="AA201" s="335"/>
      <c r="AB201" s="335"/>
      <c r="AC201" s="335"/>
      <c r="AD201" s="335"/>
      <c r="AE201" s="335"/>
      <c r="AF201" s="335"/>
      <c r="AG201" s="335"/>
      <c r="AH201" s="335"/>
      <c r="AI201" s="335"/>
      <c r="AJ201" s="335"/>
      <c r="AK201" s="334"/>
      <c r="AL201" s="337"/>
      <c r="AM201" s="337"/>
      <c r="AN201" s="337"/>
      <c r="AO201" s="337"/>
      <c r="AP201" s="337"/>
      <c r="AQ201" s="337"/>
      <c r="AR201" s="338" t="s">
        <v>1761</v>
      </c>
      <c r="CA201" s="170"/>
      <c r="CB201" s="15"/>
    </row>
    <row r="202" spans="2:80" ht="15.95" customHeight="1" x14ac:dyDescent="0.35">
      <c r="B202" s="332"/>
      <c r="C202" s="339"/>
      <c r="D202" s="339"/>
      <c r="E202" s="339"/>
      <c r="F202" s="339"/>
      <c r="G202" s="339"/>
      <c r="H202" s="339"/>
      <c r="I202" s="339"/>
      <c r="J202" s="339"/>
      <c r="K202" s="339"/>
      <c r="L202" s="339"/>
      <c r="M202" s="339"/>
      <c r="N202" s="339"/>
      <c r="O202" s="339"/>
      <c r="P202" s="339"/>
      <c r="Q202" s="339"/>
      <c r="R202" s="339"/>
      <c r="S202" s="339"/>
      <c r="T202" s="339"/>
      <c r="U202" s="339"/>
      <c r="V202" s="339"/>
      <c r="W202" s="333"/>
      <c r="X202" s="340"/>
      <c r="Y202" s="339"/>
      <c r="Z202" s="339"/>
      <c r="AA202" s="339"/>
      <c r="AB202" s="339"/>
      <c r="AC202" s="335"/>
      <c r="AD202" s="335"/>
      <c r="AE202" s="335"/>
      <c r="AF202" s="335"/>
      <c r="AG202" s="335"/>
      <c r="AH202" s="335"/>
      <c r="AI202" s="335"/>
      <c r="AJ202" s="335"/>
      <c r="AK202" s="334"/>
      <c r="AL202" s="337"/>
      <c r="AM202" s="337"/>
      <c r="AN202" s="337"/>
      <c r="AO202" s="337"/>
      <c r="AP202" s="337"/>
      <c r="AQ202" s="337"/>
      <c r="AR202" s="338" t="s">
        <v>1762</v>
      </c>
      <c r="CA202" s="170"/>
      <c r="CB202" s="15"/>
    </row>
    <row r="203" spans="2:80" ht="15.95" customHeight="1" x14ac:dyDescent="0.25">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c r="CA203" s="170"/>
      <c r="CB203" s="15"/>
    </row>
    <row r="204" spans="2:80" ht="15.95" customHeight="1" x14ac:dyDescent="0.25">
      <c r="B204" s="332"/>
      <c r="C204" s="341"/>
      <c r="D204" s="341"/>
      <c r="E204" s="341"/>
      <c r="F204" s="341"/>
      <c r="G204" s="341"/>
      <c r="H204" s="341"/>
      <c r="I204" s="341"/>
      <c r="J204" s="341"/>
      <c r="K204" s="341"/>
      <c r="L204" s="341"/>
      <c r="M204" s="807" t="str">
        <f>IF(PROJID=0,"",CONCATENATE("Project ",PROJID))</f>
        <v/>
      </c>
      <c r="N204" s="807"/>
      <c r="O204" s="807"/>
      <c r="P204" s="807"/>
      <c r="Q204" s="807"/>
      <c r="R204" s="807"/>
      <c r="S204" s="807"/>
      <c r="T204" s="807"/>
      <c r="U204" s="807"/>
      <c r="V204" s="807"/>
      <c r="W204" s="807"/>
      <c r="X204" s="807"/>
      <c r="Y204" s="807"/>
      <c r="Z204" s="807"/>
      <c r="AA204" s="807"/>
      <c r="AB204" s="807"/>
      <c r="AC204" s="807"/>
      <c r="AD204" s="807"/>
      <c r="AE204" s="807"/>
      <c r="AF204" s="807"/>
      <c r="AG204" s="807"/>
      <c r="AH204" s="341"/>
      <c r="AI204" s="341"/>
      <c r="AJ204" s="341"/>
      <c r="AK204" s="342"/>
      <c r="AL204" s="808"/>
      <c r="AM204" s="808"/>
      <c r="AN204" s="808"/>
      <c r="AO204" s="808"/>
      <c r="AP204" s="808"/>
      <c r="AQ204" s="808"/>
      <c r="AR204" s="808"/>
      <c r="CA204" s="170"/>
      <c r="CB204" s="15"/>
    </row>
    <row r="205" spans="2:80" ht="15.95" customHeight="1" x14ac:dyDescent="0.25">
      <c r="B205" s="332"/>
      <c r="C205" s="341"/>
      <c r="D205" s="341"/>
      <c r="E205" s="341"/>
      <c r="F205" s="341"/>
      <c r="G205" s="341"/>
      <c r="H205" s="341"/>
      <c r="I205" s="341"/>
      <c r="J205" s="341"/>
      <c r="K205" s="341"/>
      <c r="L205" s="341"/>
      <c r="M205" s="807"/>
      <c r="N205" s="807"/>
      <c r="O205" s="807"/>
      <c r="P205" s="807"/>
      <c r="Q205" s="807"/>
      <c r="R205" s="807"/>
      <c r="S205" s="807"/>
      <c r="T205" s="807"/>
      <c r="U205" s="807"/>
      <c r="V205" s="807"/>
      <c r="W205" s="807"/>
      <c r="X205" s="807"/>
      <c r="Y205" s="807"/>
      <c r="Z205" s="807"/>
      <c r="AA205" s="807"/>
      <c r="AB205" s="807"/>
      <c r="AC205" s="807"/>
      <c r="AD205" s="807"/>
      <c r="AE205" s="807"/>
      <c r="AF205" s="807"/>
      <c r="AG205" s="807"/>
      <c r="AH205" s="341"/>
      <c r="AI205" s="341"/>
      <c r="AJ205" s="341"/>
      <c r="AK205" s="341"/>
      <c r="AL205" s="341"/>
      <c r="AM205" s="341"/>
      <c r="AN205" s="805"/>
      <c r="AO205" s="805"/>
      <c r="AP205" s="805"/>
      <c r="AQ205" s="805"/>
      <c r="AR205" s="805"/>
    </row>
    <row r="206" spans="2:80" ht="15.95" customHeight="1" x14ac:dyDescent="0.25">
      <c r="B206" s="792"/>
      <c r="C206" s="792"/>
      <c r="D206" s="792"/>
      <c r="E206" s="792"/>
      <c r="F206" s="792"/>
      <c r="G206" s="792"/>
      <c r="H206" s="341"/>
      <c r="I206" s="332"/>
      <c r="J206" s="332"/>
      <c r="K206" s="332"/>
      <c r="L206" s="332"/>
      <c r="M206" s="332"/>
      <c r="N206" s="332"/>
      <c r="O206" s="332"/>
      <c r="P206" s="332"/>
      <c r="Q206" s="332"/>
      <c r="R206" s="332"/>
      <c r="S206" s="332"/>
      <c r="T206" s="332"/>
      <c r="U206" s="343"/>
      <c r="V206" s="343"/>
      <c r="W206" s="332"/>
      <c r="X206" s="343"/>
      <c r="Y206" s="343"/>
      <c r="Z206" s="343"/>
      <c r="AA206" s="343"/>
      <c r="AB206" s="343"/>
      <c r="AC206" s="343"/>
      <c r="AD206" s="343"/>
      <c r="AE206" s="341"/>
      <c r="AF206" s="341"/>
      <c r="AG206" s="341"/>
      <c r="AH206" s="341"/>
      <c r="AI206" s="341"/>
      <c r="AJ206" s="341"/>
      <c r="AK206" s="341"/>
      <c r="AL206" s="341"/>
      <c r="AM206" s="341"/>
      <c r="AN206" s="341"/>
      <c r="AO206" s="341"/>
      <c r="AP206" s="341"/>
      <c r="AQ206" s="341"/>
      <c r="AR206" s="332"/>
    </row>
    <row r="207" spans="2:80" ht="15.95" customHeight="1" x14ac:dyDescent="0.25">
      <c r="T207" s="367"/>
      <c r="U207" s="367"/>
      <c r="V207" s="367"/>
      <c r="W207" s="368" t="str">
        <f>VERSION</f>
        <v>Lighting One-Page 2.3.0</v>
      </c>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9" t="s">
        <v>1630</v>
      </c>
    </row>
    <row r="208" spans="2:80"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sheetData>
  <sheetProtection algorithmName="SHA-512" hashValue="vZecLk4BWhGDhoSMLbpYncbzlZRWxZAt8/nEBD8SdAznHEMboohlaTwkEAYlOnKMtHw0HJ5w5pfgTerE2RszTA==" saltValue="y9O/EhhC/jYol6uGp79g/g==" spinCount="100000" sheet="1" objects="1" scenarios="1" selectLockedCells="1"/>
  <mergeCells count="104">
    <mergeCell ref="K76:AJ77"/>
    <mergeCell ref="K83:Q83"/>
    <mergeCell ref="T83:Z83"/>
    <mergeCell ref="AC83:AI83"/>
    <mergeCell ref="K69:M69"/>
    <mergeCell ref="N67:U67"/>
    <mergeCell ref="N68:U68"/>
    <mergeCell ref="K70:M70"/>
    <mergeCell ref="X61:AJ63"/>
    <mergeCell ref="X68:AJ70"/>
    <mergeCell ref="K66:M66"/>
    <mergeCell ref="N66:Q66"/>
    <mergeCell ref="R66:W66"/>
    <mergeCell ref="P35:V35"/>
    <mergeCell ref="W35:AC35"/>
    <mergeCell ref="AD35:AJ35"/>
    <mergeCell ref="P36:V36"/>
    <mergeCell ref="W36:AC36"/>
    <mergeCell ref="AD36:AJ36"/>
    <mergeCell ref="P37:V37"/>
    <mergeCell ref="W37:AC37"/>
    <mergeCell ref="AD37:AJ37"/>
    <mergeCell ref="F16:AN16"/>
    <mergeCell ref="F17:AN18"/>
    <mergeCell ref="K24:AI25"/>
    <mergeCell ref="P29:V29"/>
    <mergeCell ref="W29:AC29"/>
    <mergeCell ref="AD29:AJ29"/>
    <mergeCell ref="P30:V30"/>
    <mergeCell ref="K26:AI27"/>
    <mergeCell ref="W32:AC32"/>
    <mergeCell ref="AD32:AJ32"/>
    <mergeCell ref="P33:V33"/>
    <mergeCell ref="W33:AC33"/>
    <mergeCell ref="AD33:AJ33"/>
    <mergeCell ref="P34:V34"/>
    <mergeCell ref="P32:V32"/>
    <mergeCell ref="K71:M71"/>
    <mergeCell ref="K72:M72"/>
    <mergeCell ref="AD43:AJ43"/>
    <mergeCell ref="K45:AJ46"/>
    <mergeCell ref="P41:V41"/>
    <mergeCell ref="W34:AC34"/>
    <mergeCell ref="AD34:AJ34"/>
    <mergeCell ref="AD39:AJ39"/>
    <mergeCell ref="P40:V40"/>
    <mergeCell ref="AD42:AJ42"/>
    <mergeCell ref="K39:O43"/>
    <mergeCell ref="P39:V39"/>
    <mergeCell ref="W39:AC39"/>
    <mergeCell ref="W40:AC40"/>
    <mergeCell ref="AD40:AJ40"/>
    <mergeCell ref="W41:AC41"/>
    <mergeCell ref="AD41:AJ41"/>
    <mergeCell ref="P42:V42"/>
    <mergeCell ref="W42:AC42"/>
    <mergeCell ref="M204:AG205"/>
    <mergeCell ref="AL204:AR204"/>
    <mergeCell ref="AN205:AR205"/>
    <mergeCell ref="K68:M68"/>
    <mergeCell ref="P43:V43"/>
    <mergeCell ref="W43:AC43"/>
    <mergeCell ref="K50:P51"/>
    <mergeCell ref="T50:AA51"/>
    <mergeCell ref="AD50:AI51"/>
    <mergeCell ref="AC84:AI84"/>
    <mergeCell ref="K82:AI82"/>
    <mergeCell ref="K84:Q84"/>
    <mergeCell ref="T84:Z84"/>
    <mergeCell ref="K80:AJ81"/>
    <mergeCell ref="J94:AJ95"/>
    <mergeCell ref="J86:AJ93"/>
    <mergeCell ref="J64:V65"/>
    <mergeCell ref="K54:U55"/>
    <mergeCell ref="K62:U63"/>
    <mergeCell ref="Y54:AI55"/>
    <mergeCell ref="Y65:AI67"/>
    <mergeCell ref="Y56:AI57"/>
    <mergeCell ref="Y58:AI59"/>
    <mergeCell ref="J56:V61"/>
    <mergeCell ref="C18:D18"/>
    <mergeCell ref="C22:D22"/>
    <mergeCell ref="B206:G206"/>
    <mergeCell ref="C11:J12"/>
    <mergeCell ref="S11:Z12"/>
    <mergeCell ref="AI11:AQ12"/>
    <mergeCell ref="C13:J14"/>
    <mergeCell ref="S13:Z14"/>
    <mergeCell ref="AI13:AQ14"/>
    <mergeCell ref="K29:O36"/>
    <mergeCell ref="K48:P49"/>
    <mergeCell ref="T48:AA49"/>
    <mergeCell ref="AD48:AI49"/>
    <mergeCell ref="K67:M67"/>
    <mergeCell ref="K74:AJ75"/>
    <mergeCell ref="W30:AC30"/>
    <mergeCell ref="AD30:AJ30"/>
    <mergeCell ref="P31:V31"/>
    <mergeCell ref="W31:AC31"/>
    <mergeCell ref="AD31:AJ31"/>
    <mergeCell ref="N70:U70"/>
    <mergeCell ref="N71:U71"/>
    <mergeCell ref="N72:U72"/>
    <mergeCell ref="N69:U69"/>
  </mergeCells>
  <conditionalFormatting sqref="K84:AI84">
    <cfRule type="expression" dxfId="8" priority="6">
      <formula>OR(M02S02F42="",M02S02F42="None")</formula>
    </cfRule>
  </conditionalFormatting>
  <conditionalFormatting sqref="Y56">
    <cfRule type="containsBlanks" dxfId="7" priority="20">
      <formula>LEN(TRIM(Y56))=0</formula>
    </cfRule>
    <cfRule type="expression" dxfId="6" priority="21">
      <formula>Y56&lt;&gt;"sign here"</formula>
    </cfRule>
  </conditionalFormatting>
  <conditionalFormatting sqref="Y58">
    <cfRule type="containsBlanks" dxfId="5" priority="18">
      <formula>LEN(TRIM(Y58))=0</formula>
    </cfRule>
    <cfRule type="expression" dxfId="4" priority="19">
      <formula>Y58&lt;&gt;"date here"</formula>
    </cfRule>
  </conditionalFormatting>
  <conditionalFormatting sqref="CA43:CB46">
    <cfRule type="cellIs" dxfId="3" priority="85" operator="equal">
      <formula>""</formula>
    </cfRule>
  </conditionalFormatting>
  <conditionalFormatting sqref="CA61:CB61">
    <cfRule type="cellIs" dxfId="2" priority="87" operator="equal">
      <formula>""</formula>
    </cfRule>
  </conditionalFormatting>
  <dataValidations disablePrompts="1" count="1">
    <dataValidation allowBlank="1" showErrorMessage="1" sqref="D203:AR203 D200:AR200 Y201:AR201 AN205:AR205 C202:AR202 C201:S201" xr:uid="{583A6C8D-EB02-47C9-93FC-39506244C9AE}"/>
  </dataValidations>
  <printOptions horizontalCentered="1" verticalCentered="1"/>
  <pageMargins left="0.3" right="0.3" top="0.3" bottom="0.3" header="0.25" footer="0.25"/>
  <pageSetup scale="6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3" r:id="rId4" name="Check Box 3">
              <controlPr defaultSize="0" autoFill="0" autoLine="0" autoPict="0">
                <anchor moveWithCells="1">
                  <from>
                    <xdr:col>24</xdr:col>
                    <xdr:colOff>9525</xdr:colOff>
                    <xdr:row>69</xdr:row>
                    <xdr:rowOff>171450</xdr:rowOff>
                  </from>
                  <to>
                    <xdr:col>25</xdr:col>
                    <xdr:colOff>0</xdr:colOff>
                    <xdr:row>70</xdr:row>
                    <xdr:rowOff>190500</xdr:rowOff>
                  </to>
                </anchor>
              </controlPr>
            </control>
          </mc:Choice>
        </mc:AlternateContent>
        <mc:AlternateContent xmlns:mc="http://schemas.openxmlformats.org/markup-compatibility/2006">
          <mc:Choice Requires="x14">
            <control shapeId="40964" r:id="rId5" name="Check Box 4">
              <controlPr defaultSize="0" autoFill="0" autoLine="0" autoPict="0">
                <anchor moveWithCells="1">
                  <from>
                    <xdr:col>24</xdr:col>
                    <xdr:colOff>9525</xdr:colOff>
                    <xdr:row>70</xdr:row>
                    <xdr:rowOff>171450</xdr:rowOff>
                  </from>
                  <to>
                    <xdr:col>25</xdr:col>
                    <xdr:colOff>0</xdr:colOff>
                    <xdr:row>71</xdr:row>
                    <xdr:rowOff>190500</xdr:rowOff>
                  </to>
                </anchor>
              </controlPr>
            </control>
          </mc:Choice>
        </mc:AlternateContent>
        <mc:AlternateContent xmlns:mc="http://schemas.openxmlformats.org/markup-compatibility/2006">
          <mc:Choice Requires="x14">
            <control shapeId="40965" r:id="rId6" name="M06S05C01">
              <controlPr defaultSize="0" autoFill="0" autoLine="0" autoPict="0">
                <anchor moveWithCells="1">
                  <from>
                    <xdr:col>10</xdr:col>
                    <xdr:colOff>19050</xdr:colOff>
                    <xdr:row>76</xdr:row>
                    <xdr:rowOff>200025</xdr:rowOff>
                  </from>
                  <to>
                    <xdr:col>11</xdr:col>
                    <xdr:colOff>38100</xdr:colOff>
                    <xdr:row>78</xdr:row>
                    <xdr:rowOff>0</xdr:rowOff>
                  </to>
                </anchor>
              </controlPr>
            </control>
          </mc:Choice>
        </mc:AlternateContent>
        <mc:AlternateContent xmlns:mc="http://schemas.openxmlformats.org/markup-compatibility/2006">
          <mc:Choice Requires="x14">
            <control shapeId="40966" r:id="rId7" name="M06S05C02">
              <controlPr defaultSize="0" autoFill="0" autoLine="0" autoPict="0">
                <anchor moveWithCells="1">
                  <from>
                    <xdr:col>25</xdr:col>
                    <xdr:colOff>0</xdr:colOff>
                    <xdr:row>76</xdr:row>
                    <xdr:rowOff>200025</xdr:rowOff>
                  </from>
                  <to>
                    <xdr:col>26</xdr:col>
                    <xdr:colOff>0</xdr:colOff>
                    <xdr:row>78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AS219"/>
  <sheetViews>
    <sheetView showGridLines="0" showRowColHeaders="0" zoomScale="85" zoomScaleNormal="85" workbookViewId="0">
      <selection activeCell="U38" sqref="U38:AC38"/>
    </sheetView>
  </sheetViews>
  <sheetFormatPr defaultColWidth="0" defaultRowHeight="0" customHeight="1" zeroHeight="1" x14ac:dyDescent="0.25"/>
  <cols>
    <col min="1" max="45" width="4.7109375" customWidth="1"/>
    <col min="46" max="78" width="9.140625" hidden="1" customWidth="1"/>
    <col min="79" max="16384" width="9.140625" hidden="1"/>
  </cols>
  <sheetData>
    <row r="1" spans="2:44" ht="15.95" customHeight="1" x14ac:dyDescent="0.25"/>
    <row r="2" spans="2:44" ht="15.95" customHeight="1" x14ac:dyDescent="0.25"/>
    <row r="3" spans="2:44" ht="15.95" customHeight="1" x14ac:dyDescent="0.25"/>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row r="10" spans="2:44" ht="15.95" customHeight="1" x14ac:dyDescent="0.25"/>
    <row r="11" spans="2:44" ht="15.95" customHeight="1" x14ac:dyDescent="0.25">
      <c r="B11" s="332"/>
      <c r="C11" s="736" t="str">
        <f>IF(AND(SUM('M01-S01'!AN32:AQ71)&gt;15000,ISNUMBER(SEARCH("YES, ",M02S02F44))),"Total Incentive (Capped)", "Total Incentive")</f>
        <v>Total Incentive</v>
      </c>
      <c r="D11" s="736"/>
      <c r="E11" s="736"/>
      <c r="F11" s="736"/>
      <c r="G11" s="736"/>
      <c r="H11" s="736"/>
      <c r="I11" s="736"/>
      <c r="J11" s="736"/>
      <c r="K11" s="332"/>
      <c r="L11" s="332"/>
      <c r="M11" s="332"/>
      <c r="N11" s="332"/>
      <c r="O11" s="332"/>
      <c r="P11" s="332"/>
      <c r="Q11" s="332"/>
      <c r="R11" s="332"/>
      <c r="S11" s="738" t="s">
        <v>723</v>
      </c>
      <c r="T11" s="738"/>
      <c r="U11" s="738"/>
      <c r="V11" s="738"/>
      <c r="W11" s="738"/>
      <c r="X11" s="738"/>
      <c r="Y11" s="738"/>
      <c r="Z11" s="738"/>
      <c r="AA11" s="332"/>
      <c r="AB11" s="332"/>
      <c r="AC11" s="332"/>
      <c r="AD11" s="332"/>
      <c r="AE11" s="332"/>
      <c r="AF11" s="332"/>
      <c r="AG11" s="332"/>
      <c r="AH11" s="332"/>
      <c r="AI11" s="736" t="s">
        <v>373</v>
      </c>
      <c r="AJ11" s="736"/>
      <c r="AK11" s="736"/>
      <c r="AL11" s="736"/>
      <c r="AM11" s="736"/>
      <c r="AN11" s="736"/>
      <c r="AO11" s="736"/>
      <c r="AP11" s="736"/>
      <c r="AQ11" s="736"/>
      <c r="AR11" s="332"/>
    </row>
    <row r="12" spans="2:44" ht="15.95" customHeight="1" x14ac:dyDescent="0.25">
      <c r="B12" s="332"/>
      <c r="C12" s="736"/>
      <c r="D12" s="736"/>
      <c r="E12" s="736"/>
      <c r="F12" s="736"/>
      <c r="G12" s="736"/>
      <c r="H12" s="736"/>
      <c r="I12" s="736"/>
      <c r="J12" s="736"/>
      <c r="K12" s="332"/>
      <c r="L12" s="332"/>
      <c r="M12" s="332"/>
      <c r="N12" s="332"/>
      <c r="O12" s="332"/>
      <c r="P12" s="332"/>
      <c r="Q12" s="332"/>
      <c r="R12" s="332"/>
      <c r="S12" s="738"/>
      <c r="T12" s="738"/>
      <c r="U12" s="738"/>
      <c r="V12" s="738"/>
      <c r="W12" s="738"/>
      <c r="X12" s="738"/>
      <c r="Y12" s="738"/>
      <c r="Z12" s="738"/>
      <c r="AA12" s="332"/>
      <c r="AB12" s="332"/>
      <c r="AC12" s="332"/>
      <c r="AD12" s="332"/>
      <c r="AE12" s="332"/>
      <c r="AF12" s="332"/>
      <c r="AG12" s="332"/>
      <c r="AH12" s="332"/>
      <c r="AI12" s="736"/>
      <c r="AJ12" s="736"/>
      <c r="AK12" s="736"/>
      <c r="AL12" s="736"/>
      <c r="AM12" s="736"/>
      <c r="AN12" s="736"/>
      <c r="AO12" s="736"/>
      <c r="AP12" s="736"/>
      <c r="AQ12" s="736"/>
      <c r="AR12" s="332"/>
    </row>
    <row r="13" spans="2:44" ht="15.95" customHeight="1" x14ac:dyDescent="0.25">
      <c r="B13" s="332"/>
      <c r="C13" s="753" t="str">
        <f>INCENSTATUS</f>
        <v>---</v>
      </c>
      <c r="D13" s="753"/>
      <c r="E13" s="753"/>
      <c r="F13" s="753"/>
      <c r="G13" s="753"/>
      <c r="H13" s="753"/>
      <c r="I13" s="753"/>
      <c r="J13" s="753"/>
      <c r="K13" s="332"/>
      <c r="L13" s="332"/>
      <c r="M13" s="332"/>
      <c r="N13" s="332"/>
      <c r="O13" s="332"/>
      <c r="P13" s="332"/>
      <c r="Q13" s="332"/>
      <c r="R13" s="332"/>
      <c r="S13" s="754" t="str">
        <f ca="1">PROJSTATUS</f>
        <v>Enter Measures</v>
      </c>
      <c r="T13" s="754"/>
      <c r="U13" s="754"/>
      <c r="V13" s="754"/>
      <c r="W13" s="754"/>
      <c r="X13" s="754"/>
      <c r="Y13" s="754"/>
      <c r="Z13" s="754"/>
      <c r="AA13" s="332"/>
      <c r="AB13" s="332"/>
      <c r="AC13" s="332"/>
      <c r="AD13" s="332"/>
      <c r="AE13" s="332"/>
      <c r="AF13" s="332"/>
      <c r="AG13" s="332"/>
      <c r="AH13" s="332"/>
      <c r="AI13" s="755">
        <f ca="1">PROGRESSSTATUS</f>
        <v>0</v>
      </c>
      <c r="AJ13" s="755"/>
      <c r="AK13" s="755"/>
      <c r="AL13" s="755"/>
      <c r="AM13" s="755"/>
      <c r="AN13" s="755"/>
      <c r="AO13" s="755"/>
      <c r="AP13" s="755"/>
      <c r="AQ13" s="755"/>
      <c r="AR13" s="332"/>
    </row>
    <row r="14" spans="2:44" ht="15.95" customHeight="1" x14ac:dyDescent="0.25">
      <c r="B14" s="332"/>
      <c r="C14" s="753"/>
      <c r="D14" s="753"/>
      <c r="E14" s="753"/>
      <c r="F14" s="753"/>
      <c r="G14" s="753"/>
      <c r="H14" s="753"/>
      <c r="I14" s="753"/>
      <c r="J14" s="753"/>
      <c r="K14" s="332"/>
      <c r="L14" s="332"/>
      <c r="M14" s="332"/>
      <c r="N14" s="332"/>
      <c r="O14" s="332"/>
      <c r="P14" s="332"/>
      <c r="Q14" s="332"/>
      <c r="R14" s="332"/>
      <c r="S14" s="754"/>
      <c r="T14" s="754"/>
      <c r="U14" s="754"/>
      <c r="V14" s="754"/>
      <c r="W14" s="754"/>
      <c r="X14" s="754"/>
      <c r="Y14" s="754"/>
      <c r="Z14" s="754"/>
      <c r="AA14" s="332"/>
      <c r="AB14" s="332"/>
      <c r="AC14" s="332"/>
      <c r="AD14" s="332"/>
      <c r="AE14" s="332"/>
      <c r="AF14" s="332"/>
      <c r="AG14" s="332"/>
      <c r="AH14" s="332"/>
      <c r="AI14" s="755"/>
      <c r="AJ14" s="755"/>
      <c r="AK14" s="755"/>
      <c r="AL14" s="755"/>
      <c r="AM14" s="755"/>
      <c r="AN14" s="755"/>
      <c r="AO14" s="755"/>
      <c r="AP14" s="755"/>
      <c r="AQ14" s="755"/>
      <c r="AR14" s="332"/>
    </row>
    <row r="15" spans="2:44" ht="15.95" customHeight="1" x14ac:dyDescent="0.25">
      <c r="B15" s="59"/>
      <c r="C15" s="59"/>
      <c r="D15" s="59"/>
      <c r="E15" s="59"/>
      <c r="AO15" s="59"/>
      <c r="AP15" s="59"/>
      <c r="AQ15" s="59"/>
      <c r="AR15" s="59"/>
    </row>
    <row r="16" spans="2:44" ht="15.95" customHeight="1" x14ac:dyDescent="0.3">
      <c r="B16" s="59"/>
      <c r="C16" s="59"/>
      <c r="D16" s="59"/>
      <c r="E16" s="59"/>
      <c r="F16" s="538" t="s">
        <v>972</v>
      </c>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9"/>
      <c r="AP16" s="59"/>
      <c r="AQ16" s="59"/>
      <c r="AR16" s="59"/>
    </row>
    <row r="17" spans="2:44" ht="15.95" customHeight="1" x14ac:dyDescent="0.25">
      <c r="B17" s="59"/>
      <c r="C17" s="59"/>
      <c r="D17" s="59"/>
      <c r="E17" s="59"/>
      <c r="F17" s="919"/>
      <c r="G17" s="919"/>
      <c r="H17" s="919"/>
      <c r="I17" s="919"/>
      <c r="J17" s="919"/>
      <c r="K17" s="919"/>
      <c r="L17" s="919"/>
      <c r="M17" s="919"/>
      <c r="N17" s="919"/>
      <c r="O17" s="919"/>
      <c r="P17" s="919"/>
      <c r="Q17" s="919"/>
      <c r="R17" s="919"/>
      <c r="S17" s="919"/>
      <c r="T17" s="919"/>
      <c r="U17" s="919"/>
      <c r="V17" s="919"/>
      <c r="W17" s="919"/>
      <c r="X17" s="919"/>
      <c r="Y17" s="919"/>
      <c r="Z17" s="919"/>
      <c r="AA17" s="919"/>
      <c r="AB17" s="919"/>
      <c r="AC17" s="919"/>
      <c r="AD17" s="919"/>
      <c r="AE17" s="919"/>
      <c r="AF17" s="919"/>
      <c r="AG17" s="919"/>
      <c r="AH17" s="919"/>
      <c r="AI17" s="919"/>
      <c r="AJ17" s="919"/>
      <c r="AK17" s="919"/>
      <c r="AL17" s="919"/>
      <c r="AM17" s="919"/>
      <c r="AN17" s="919"/>
      <c r="AO17" s="59"/>
      <c r="AP17" s="59"/>
      <c r="AQ17" s="59"/>
      <c r="AR17" s="59"/>
    </row>
    <row r="18" spans="2:44" ht="15.95" customHeight="1" thickBot="1" x14ac:dyDescent="0.3">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2:44" ht="15.95" customHeight="1" thickBot="1" x14ac:dyDescent="0.3">
      <c r="B19" s="59"/>
      <c r="C19" s="917" t="s">
        <v>64</v>
      </c>
      <c r="D19" s="917"/>
      <c r="E19" s="917"/>
      <c r="F19" s="917"/>
      <c r="G19" s="917"/>
      <c r="H19" s="917"/>
      <c r="I19" s="917"/>
      <c r="J19" s="917"/>
      <c r="K19" s="917"/>
      <c r="L19" s="917"/>
      <c r="M19" s="917"/>
      <c r="N19" s="917"/>
      <c r="O19" s="917"/>
      <c r="P19" s="59"/>
      <c r="Q19" s="917" t="s">
        <v>383</v>
      </c>
      <c r="R19" s="917"/>
      <c r="S19" s="917"/>
      <c r="T19" s="917"/>
      <c r="U19" s="917"/>
      <c r="V19" s="917"/>
      <c r="W19" s="917"/>
      <c r="X19" s="917"/>
      <c r="Y19" s="917"/>
      <c r="Z19" s="917"/>
      <c r="AA19" s="917"/>
      <c r="AB19" s="917"/>
      <c r="AC19" s="917"/>
      <c r="AD19" s="59"/>
      <c r="AE19" s="917" t="s">
        <v>384</v>
      </c>
      <c r="AF19" s="917"/>
      <c r="AG19" s="917"/>
      <c r="AH19" s="917"/>
      <c r="AI19" s="917"/>
      <c r="AJ19" s="917"/>
      <c r="AK19" s="917"/>
      <c r="AL19" s="917"/>
      <c r="AM19" s="917"/>
      <c r="AN19" s="917"/>
      <c r="AO19" s="917"/>
      <c r="AP19" s="917"/>
      <c r="AQ19" s="917"/>
      <c r="AR19" s="59"/>
    </row>
    <row r="20" spans="2:44" ht="15.95" customHeight="1" thickBot="1" x14ac:dyDescent="0.3">
      <c r="B20" s="59"/>
      <c r="C20" s="915" t="s">
        <v>399</v>
      </c>
      <c r="D20" s="915"/>
      <c r="E20" s="915"/>
      <c r="F20" s="915"/>
      <c r="G20" s="914">
        <f>M02S02F47</f>
        <v>0</v>
      </c>
      <c r="H20" s="914"/>
      <c r="I20" s="914"/>
      <c r="J20" s="914"/>
      <c r="K20" s="914"/>
      <c r="L20" s="914"/>
      <c r="M20" s="914"/>
      <c r="N20" s="914"/>
      <c r="O20" s="914"/>
      <c r="P20" s="59"/>
      <c r="Q20" s="916" t="s">
        <v>73</v>
      </c>
      <c r="R20" s="916"/>
      <c r="S20" s="916"/>
      <c r="T20" s="916"/>
      <c r="U20" s="918" t="str">
        <f>PROPER(M02S03F02)</f>
        <v/>
      </c>
      <c r="V20" s="918"/>
      <c r="W20" s="918"/>
      <c r="X20" s="918"/>
      <c r="Y20" s="918"/>
      <c r="Z20" s="918"/>
      <c r="AA20" s="918"/>
      <c r="AB20" s="918"/>
      <c r="AC20" s="918"/>
      <c r="AD20" s="59"/>
      <c r="AE20" s="925" t="s">
        <v>1886</v>
      </c>
      <c r="AF20" s="915"/>
      <c r="AG20" s="915"/>
      <c r="AH20" s="915"/>
      <c r="AI20" s="929"/>
      <c r="AJ20" s="930"/>
      <c r="AK20" s="930"/>
      <c r="AL20" s="930"/>
      <c r="AM20" s="930"/>
      <c r="AN20" s="931"/>
      <c r="AO20" s="932"/>
      <c r="AP20" s="933"/>
      <c r="AQ20" s="934"/>
      <c r="AR20" s="59"/>
    </row>
    <row r="21" spans="2:44" ht="15.95" customHeight="1" thickBot="1" x14ac:dyDescent="0.3">
      <c r="B21" s="59"/>
      <c r="C21" s="915" t="s">
        <v>417</v>
      </c>
      <c r="D21" s="915"/>
      <c r="E21" s="915"/>
      <c r="F21" s="915"/>
      <c r="G21" s="914">
        <f>M02S02F37</f>
        <v>0</v>
      </c>
      <c r="H21" s="914"/>
      <c r="I21" s="914"/>
      <c r="J21" s="914"/>
      <c r="K21" s="914"/>
      <c r="L21" s="914">
        <f>M02S02F38</f>
        <v>0</v>
      </c>
      <c r="M21" s="914"/>
      <c r="N21" s="914"/>
      <c r="O21" s="914"/>
      <c r="P21" s="59"/>
      <c r="Q21" s="916" t="s">
        <v>393</v>
      </c>
      <c r="R21" s="916"/>
      <c r="S21" s="916"/>
      <c r="T21" s="916"/>
      <c r="U21" s="918" t="str">
        <f>PROPER(M02S03F03)</f>
        <v/>
      </c>
      <c r="V21" s="918"/>
      <c r="W21" s="918"/>
      <c r="X21" s="918"/>
      <c r="Y21" s="918"/>
      <c r="Z21" s="918" t="str">
        <f>PROPER(M02S03F04)</f>
        <v/>
      </c>
      <c r="AA21" s="918"/>
      <c r="AB21" s="918"/>
      <c r="AC21" s="918"/>
      <c r="AD21" s="59"/>
      <c r="AE21" s="915" t="s">
        <v>999</v>
      </c>
      <c r="AF21" s="915"/>
      <c r="AG21" s="915"/>
      <c r="AH21" s="915"/>
      <c r="AI21" s="923"/>
      <c r="AJ21" s="923"/>
      <c r="AK21" s="923"/>
      <c r="AL21" s="923"/>
      <c r="AM21" s="923"/>
      <c r="AN21" s="923"/>
      <c r="AO21" s="923"/>
      <c r="AP21" s="923"/>
      <c r="AQ21" s="923"/>
      <c r="AR21" s="59"/>
    </row>
    <row r="22" spans="2:44" ht="15.95" customHeight="1" thickBot="1" x14ac:dyDescent="0.3">
      <c r="B22" s="59"/>
      <c r="C22" s="915"/>
      <c r="D22" s="915"/>
      <c r="E22" s="915"/>
      <c r="F22" s="915"/>
      <c r="G22" s="914"/>
      <c r="H22" s="914"/>
      <c r="I22" s="914"/>
      <c r="J22" s="914"/>
      <c r="K22" s="914"/>
      <c r="L22" s="914"/>
      <c r="M22" s="914"/>
      <c r="N22" s="914"/>
      <c r="O22" s="914"/>
      <c r="P22" s="59"/>
      <c r="Q22" s="916" t="s">
        <v>66</v>
      </c>
      <c r="R22" s="916"/>
      <c r="S22" s="916"/>
      <c r="T22" s="916"/>
      <c r="U22" s="918" t="str">
        <f>PROPER(M02S03F05)</f>
        <v/>
      </c>
      <c r="V22" s="918"/>
      <c r="W22" s="918"/>
      <c r="X22" s="918"/>
      <c r="Y22" s="918"/>
      <c r="Z22" s="918"/>
      <c r="AA22" s="918"/>
      <c r="AB22" s="918"/>
      <c r="AC22" s="918"/>
      <c r="AD22" s="59"/>
      <c r="AE22" s="915" t="s">
        <v>379</v>
      </c>
      <c r="AF22" s="915"/>
      <c r="AG22" s="915"/>
      <c r="AH22" s="915"/>
      <c r="AI22" s="923"/>
      <c r="AJ22" s="923"/>
      <c r="AK22" s="923"/>
      <c r="AL22" s="923"/>
      <c r="AM22" s="923"/>
      <c r="AN22" s="923"/>
      <c r="AO22" s="923"/>
      <c r="AP22" s="923"/>
      <c r="AQ22" s="923"/>
      <c r="AR22" s="59"/>
    </row>
    <row r="23" spans="2:44" ht="15.95" customHeight="1" thickBot="1" x14ac:dyDescent="0.3">
      <c r="B23" s="59"/>
      <c r="C23" s="915" t="s">
        <v>344</v>
      </c>
      <c r="D23" s="915"/>
      <c r="E23" s="915"/>
      <c r="F23" s="915"/>
      <c r="G23" s="913">
        <f>M02S03F01</f>
        <v>0</v>
      </c>
      <c r="H23" s="914"/>
      <c r="I23" s="914"/>
      <c r="J23" s="914"/>
      <c r="K23" s="914"/>
      <c r="L23" s="914"/>
      <c r="M23" s="914"/>
      <c r="N23" s="914"/>
      <c r="O23" s="914"/>
      <c r="P23" s="59"/>
      <c r="Q23" s="916" t="s">
        <v>387</v>
      </c>
      <c r="R23" s="916"/>
      <c r="S23" s="916"/>
      <c r="T23" s="916"/>
      <c r="U23" s="920">
        <f>M02S03F06</f>
        <v>0</v>
      </c>
      <c r="V23" s="920"/>
      <c r="W23" s="920"/>
      <c r="X23" s="920"/>
      <c r="Y23" s="920"/>
      <c r="Z23" s="920"/>
      <c r="AA23" s="920"/>
      <c r="AB23" s="920"/>
      <c r="AC23" s="920"/>
      <c r="AD23" s="59"/>
      <c r="AE23" s="915" t="s">
        <v>380</v>
      </c>
      <c r="AF23" s="915"/>
      <c r="AG23" s="915"/>
      <c r="AH23" s="915"/>
      <c r="AI23" s="923"/>
      <c r="AJ23" s="923"/>
      <c r="AK23" s="923"/>
      <c r="AL23" s="923"/>
      <c r="AM23" s="923"/>
      <c r="AN23" s="923"/>
      <c r="AO23" s="923"/>
      <c r="AP23" s="923"/>
      <c r="AQ23" s="923"/>
      <c r="AR23" s="59"/>
    </row>
    <row r="24" spans="2:44" ht="15.95" customHeight="1" thickBot="1" x14ac:dyDescent="0.3">
      <c r="B24" s="59"/>
      <c r="C24" s="915" t="s">
        <v>0</v>
      </c>
      <c r="D24" s="915"/>
      <c r="E24" s="915"/>
      <c r="F24" s="915"/>
      <c r="G24" s="913" t="s">
        <v>968</v>
      </c>
      <c r="H24" s="914"/>
      <c r="I24" s="914"/>
      <c r="J24" s="914"/>
      <c r="K24" s="914"/>
      <c r="L24" s="914"/>
      <c r="M24" s="914"/>
      <c r="N24" s="914"/>
      <c r="O24" s="914"/>
      <c r="P24" s="59"/>
      <c r="Q24" s="916" t="s">
        <v>178</v>
      </c>
      <c r="R24" s="916"/>
      <c r="S24" s="916"/>
      <c r="T24" s="916"/>
      <c r="U24" s="918">
        <f>M02S03F08</f>
        <v>0</v>
      </c>
      <c r="V24" s="918"/>
      <c r="W24" s="918"/>
      <c r="X24" s="918"/>
      <c r="Y24" s="918"/>
      <c r="Z24" s="918"/>
      <c r="AA24" s="918"/>
      <c r="AB24" s="918"/>
      <c r="AC24" s="918"/>
      <c r="AD24" s="59"/>
      <c r="AE24" s="915" t="s">
        <v>381</v>
      </c>
      <c r="AF24" s="915"/>
      <c r="AG24" s="915"/>
      <c r="AH24" s="915"/>
      <c r="AI24" s="924"/>
      <c r="AJ24" s="924"/>
      <c r="AK24" s="924"/>
      <c r="AL24" s="924"/>
      <c r="AM24" s="924"/>
      <c r="AN24" s="924"/>
      <c r="AO24" s="924"/>
      <c r="AP24" s="924"/>
      <c r="AQ24" s="924"/>
      <c r="AR24" s="59"/>
    </row>
    <row r="25" spans="2:44" ht="15.95" customHeight="1" thickBot="1" x14ac:dyDescent="0.3">
      <c r="B25" s="59"/>
      <c r="C25" s="915" t="s">
        <v>377</v>
      </c>
      <c r="D25" s="915"/>
      <c r="E25" s="915"/>
      <c r="F25" s="915"/>
      <c r="G25" s="914" t="str">
        <f>VERSION</f>
        <v>Lighting One-Page 2.3.0</v>
      </c>
      <c r="H25" s="914"/>
      <c r="I25" s="914"/>
      <c r="J25" s="914"/>
      <c r="K25" s="914"/>
      <c r="L25" s="914"/>
      <c r="M25" s="914"/>
      <c r="N25" s="914"/>
      <c r="O25" s="914"/>
      <c r="P25" s="59"/>
      <c r="Q25" s="916"/>
      <c r="R25" s="916"/>
      <c r="S25" s="916"/>
      <c r="T25" s="916"/>
      <c r="U25" s="918"/>
      <c r="V25" s="918"/>
      <c r="W25" s="918"/>
      <c r="X25" s="918"/>
      <c r="Y25" s="918"/>
      <c r="Z25" s="918"/>
      <c r="AA25" s="918"/>
      <c r="AB25" s="918"/>
      <c r="AC25" s="918"/>
      <c r="AD25" s="59"/>
      <c r="AE25" s="915" t="s">
        <v>1081</v>
      </c>
      <c r="AF25" s="915"/>
      <c r="AG25" s="915"/>
      <c r="AH25" s="915"/>
      <c r="AI25" s="926" t="str">
        <f>IF(ISTEXT(M02S02F42), M02S02F42, " ")</f>
        <v xml:space="preserve"> </v>
      </c>
      <c r="AJ25" s="926"/>
      <c r="AK25" s="926"/>
      <c r="AL25" s="926"/>
      <c r="AM25" s="926"/>
      <c r="AN25" s="926"/>
      <c r="AO25" s="926"/>
      <c r="AP25" s="926"/>
      <c r="AQ25" s="926"/>
      <c r="AR25" s="59"/>
    </row>
    <row r="26" spans="2:44" ht="15.95" customHeight="1" thickBot="1" x14ac:dyDescent="0.3">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2:44" ht="15.95" customHeight="1" thickBot="1" x14ac:dyDescent="0.3">
      <c r="B27" s="59"/>
      <c r="C27" s="917" t="s">
        <v>1743</v>
      </c>
      <c r="D27" s="917"/>
      <c r="E27" s="917"/>
      <c r="F27" s="917"/>
      <c r="G27" s="917"/>
      <c r="H27" s="917"/>
      <c r="I27" s="917"/>
      <c r="J27" s="917"/>
      <c r="K27" s="917"/>
      <c r="L27" s="917"/>
      <c r="M27" s="917"/>
      <c r="N27" s="917"/>
      <c r="O27" s="917"/>
      <c r="P27" s="293"/>
      <c r="Q27" s="917" t="s">
        <v>395</v>
      </c>
      <c r="R27" s="917"/>
      <c r="S27" s="917"/>
      <c r="T27" s="917"/>
      <c r="U27" s="917"/>
      <c r="V27" s="917"/>
      <c r="W27" s="917"/>
      <c r="X27" s="917"/>
      <c r="Y27" s="917"/>
      <c r="Z27" s="917"/>
      <c r="AA27" s="917"/>
      <c r="AB27" s="917"/>
      <c r="AC27" s="917"/>
      <c r="AD27" s="59"/>
      <c r="AE27" s="917" t="s">
        <v>401</v>
      </c>
      <c r="AF27" s="917"/>
      <c r="AG27" s="917"/>
      <c r="AH27" s="917"/>
      <c r="AI27" s="917"/>
      <c r="AJ27" s="917"/>
      <c r="AK27" s="917"/>
      <c r="AL27" s="917"/>
      <c r="AM27" s="917"/>
      <c r="AN27" s="917"/>
      <c r="AO27" s="917"/>
      <c r="AP27" s="917"/>
      <c r="AQ27" s="917"/>
      <c r="AR27" s="59"/>
    </row>
    <row r="28" spans="2:44" ht="15.95" customHeight="1" thickBot="1" x14ac:dyDescent="0.3">
      <c r="B28" s="59"/>
      <c r="C28" s="912" t="s">
        <v>1797</v>
      </c>
      <c r="D28" s="893"/>
      <c r="E28" s="893"/>
      <c r="F28" s="893"/>
      <c r="G28" s="909">
        <f>M02S02F47</f>
        <v>0</v>
      </c>
      <c r="H28" s="910"/>
      <c r="I28" s="910"/>
      <c r="J28" s="910"/>
      <c r="K28" s="911"/>
      <c r="L28" s="909"/>
      <c r="M28" s="910"/>
      <c r="N28" s="910"/>
      <c r="O28" s="911"/>
      <c r="P28" s="59"/>
      <c r="Q28" s="904" t="s">
        <v>69</v>
      </c>
      <c r="R28" s="904"/>
      <c r="S28" s="904"/>
      <c r="T28" s="904"/>
      <c r="U28" s="906" t="str">
        <f>PROPER(M02S04F02)</f>
        <v/>
      </c>
      <c r="V28" s="906"/>
      <c r="W28" s="906"/>
      <c r="X28" s="906"/>
      <c r="Y28" s="906"/>
      <c r="Z28" s="906"/>
      <c r="AA28" s="906"/>
      <c r="AB28" s="906"/>
      <c r="AC28" s="906"/>
      <c r="AD28" s="59"/>
      <c r="AE28" s="927" t="s">
        <v>378</v>
      </c>
      <c r="AF28" s="927"/>
      <c r="AG28" s="927"/>
      <c r="AH28" s="927"/>
      <c r="AI28" s="928">
        <f>INCENTOTAL</f>
        <v>0</v>
      </c>
      <c r="AJ28" s="928"/>
      <c r="AK28" s="928"/>
      <c r="AL28" s="928"/>
      <c r="AM28" s="928"/>
      <c r="AN28" s="928"/>
      <c r="AO28" s="928"/>
      <c r="AP28" s="928"/>
      <c r="AQ28" s="928"/>
      <c r="AR28" s="59"/>
    </row>
    <row r="29" spans="2:44" ht="15.95" customHeight="1" thickBot="1" x14ac:dyDescent="0.3">
      <c r="B29" s="59"/>
      <c r="C29" s="893" t="s">
        <v>385</v>
      </c>
      <c r="D29" s="893"/>
      <c r="E29" s="893"/>
      <c r="F29" s="893"/>
      <c r="G29" s="905" t="str">
        <f>PROPER(M02S02F22)</f>
        <v/>
      </c>
      <c r="H29" s="905"/>
      <c r="I29" s="905"/>
      <c r="J29" s="905"/>
      <c r="K29" s="905"/>
      <c r="L29" s="905"/>
      <c r="M29" s="905"/>
      <c r="N29" s="905"/>
      <c r="O29" s="905"/>
      <c r="P29" s="59"/>
      <c r="Q29" s="904" t="s">
        <v>396</v>
      </c>
      <c r="R29" s="904"/>
      <c r="S29" s="904"/>
      <c r="T29" s="904"/>
      <c r="U29" s="906" t="str">
        <f>PROPER(M02S04F03)</f>
        <v/>
      </c>
      <c r="V29" s="906"/>
      <c r="W29" s="906"/>
      <c r="X29" s="906"/>
      <c r="Y29" s="906"/>
      <c r="Z29" s="906" t="str">
        <f>PROPER(M02S04F04)</f>
        <v/>
      </c>
      <c r="AA29" s="906"/>
      <c r="AB29" s="906"/>
      <c r="AC29" s="906"/>
      <c r="AD29" s="59"/>
      <c r="AE29" s="927" t="s">
        <v>382</v>
      </c>
      <c r="AF29" s="927"/>
      <c r="AG29" s="927"/>
      <c r="AH29" s="927"/>
      <c r="AI29" s="922">
        <f>SUM(EXPORT!M3:M53)</f>
        <v>0</v>
      </c>
      <c r="AJ29" s="922"/>
      <c r="AK29" s="922"/>
      <c r="AL29" s="922"/>
      <c r="AM29" s="922"/>
      <c r="AN29" s="922"/>
      <c r="AO29" s="922"/>
      <c r="AP29" s="922"/>
      <c r="AQ29" s="922"/>
      <c r="AR29" s="59"/>
    </row>
    <row r="30" spans="2:44" ht="15.95" customHeight="1" thickBot="1" x14ac:dyDescent="0.3">
      <c r="B30" s="59"/>
      <c r="C30" s="893" t="s">
        <v>386</v>
      </c>
      <c r="D30" s="893"/>
      <c r="E30" s="893"/>
      <c r="F30" s="893"/>
      <c r="G30" s="905" t="str">
        <f>PROPER(M02S02F23)</f>
        <v/>
      </c>
      <c r="H30" s="905"/>
      <c r="I30" s="905"/>
      <c r="J30" s="905"/>
      <c r="K30" s="905"/>
      <c r="L30" s="905" t="str">
        <f>M02S02F24</f>
        <v>MO</v>
      </c>
      <c r="M30" s="905"/>
      <c r="N30" s="921">
        <f>M02S02F25</f>
        <v>0</v>
      </c>
      <c r="O30" s="921"/>
      <c r="P30" s="59"/>
      <c r="Q30" s="904" t="s">
        <v>397</v>
      </c>
      <c r="R30" s="904"/>
      <c r="S30" s="904"/>
      <c r="T30" s="904"/>
      <c r="U30" s="906" t="str">
        <f>PROPER(M02S04F07)</f>
        <v/>
      </c>
      <c r="V30" s="906"/>
      <c r="W30" s="906"/>
      <c r="X30" s="906"/>
      <c r="Y30" s="906"/>
      <c r="Z30" s="906"/>
      <c r="AA30" s="906"/>
      <c r="AB30" s="906"/>
      <c r="AC30" s="906"/>
      <c r="AD30" s="59"/>
      <c r="AE30" s="927" t="s">
        <v>400</v>
      </c>
      <c r="AF30" s="927"/>
      <c r="AG30" s="927"/>
      <c r="AH30" s="927"/>
      <c r="AI30" s="935">
        <f>SUM(EXPORT!N3:N53)</f>
        <v>0</v>
      </c>
      <c r="AJ30" s="935"/>
      <c r="AK30" s="935"/>
      <c r="AL30" s="935"/>
      <c r="AM30" s="935"/>
      <c r="AN30" s="935"/>
      <c r="AO30" s="935"/>
      <c r="AP30" s="935"/>
      <c r="AQ30" s="935"/>
      <c r="AR30" s="59"/>
    </row>
    <row r="31" spans="2:44" ht="15.95" customHeight="1" thickBot="1" x14ac:dyDescent="0.3">
      <c r="B31" s="59"/>
      <c r="C31" s="893" t="s">
        <v>217</v>
      </c>
      <c r="D31" s="893"/>
      <c r="E31" s="893"/>
      <c r="F31" s="893"/>
      <c r="G31" s="905">
        <f>M02S02F26</f>
        <v>0</v>
      </c>
      <c r="H31" s="905"/>
      <c r="I31" s="905"/>
      <c r="J31" s="905"/>
      <c r="K31" s="905"/>
      <c r="L31" s="905"/>
      <c r="M31" s="905"/>
      <c r="N31" s="905"/>
      <c r="O31" s="905"/>
      <c r="P31" s="59"/>
      <c r="Q31" s="904" t="s">
        <v>386</v>
      </c>
      <c r="R31" s="904"/>
      <c r="S31" s="904"/>
      <c r="T31" s="904"/>
      <c r="U31" s="906" t="str">
        <f>PROPER(M02S04F08)</f>
        <v/>
      </c>
      <c r="V31" s="906"/>
      <c r="W31" s="906"/>
      <c r="X31" s="906"/>
      <c r="Y31" s="906"/>
      <c r="Z31" s="906" t="str">
        <f>UPPER(M02S04F09)</f>
        <v/>
      </c>
      <c r="AA31" s="906"/>
      <c r="AB31" s="908" t="str">
        <f>M02S04F10</f>
        <v/>
      </c>
      <c r="AC31" s="908"/>
      <c r="AD31" s="59"/>
      <c r="AE31" s="927" t="s">
        <v>614</v>
      </c>
      <c r="AF31" s="927"/>
      <c r="AG31" s="927"/>
      <c r="AH31" s="927"/>
      <c r="AI31" s="936">
        <f>SUM(EXPORT!L3:L53)</f>
        <v>0</v>
      </c>
      <c r="AJ31" s="937"/>
      <c r="AK31" s="937"/>
      <c r="AL31" s="937"/>
      <c r="AM31" s="937"/>
      <c r="AN31" s="937"/>
      <c r="AO31" s="937"/>
      <c r="AP31" s="937"/>
      <c r="AQ31" s="937"/>
      <c r="AR31" s="59"/>
    </row>
    <row r="32" spans="2:44" ht="15.95" customHeight="1" thickBot="1" x14ac:dyDescent="0.3">
      <c r="B32" s="59"/>
      <c r="C32" s="912" t="s">
        <v>1824</v>
      </c>
      <c r="D32" s="893"/>
      <c r="E32" s="893"/>
      <c r="F32" s="893"/>
      <c r="G32" s="905">
        <f>M02S02F01</f>
        <v>0</v>
      </c>
      <c r="H32" s="905"/>
      <c r="I32" s="905"/>
      <c r="J32" s="905"/>
      <c r="K32" s="905"/>
      <c r="L32" s="905"/>
      <c r="M32" s="905"/>
      <c r="N32" s="905"/>
      <c r="O32" s="905"/>
      <c r="P32" s="59"/>
      <c r="Q32" s="904" t="s">
        <v>91</v>
      </c>
      <c r="R32" s="904"/>
      <c r="S32" s="904"/>
      <c r="T32" s="904"/>
      <c r="U32" s="907" t="str">
        <f>M02S04F05</f>
        <v/>
      </c>
      <c r="V32" s="907"/>
      <c r="W32" s="907"/>
      <c r="X32" s="907"/>
      <c r="Y32" s="907"/>
      <c r="Z32" s="907"/>
      <c r="AA32" s="907"/>
      <c r="AB32" s="907"/>
      <c r="AC32" s="907"/>
      <c r="AD32" s="59"/>
      <c r="AE32" s="927" t="s">
        <v>978</v>
      </c>
      <c r="AF32" s="927"/>
      <c r="AG32" s="927"/>
      <c r="AH32" s="927"/>
      <c r="AI32" s="922">
        <f>SUM(EXPORT!P3:P53)</f>
        <v>0</v>
      </c>
      <c r="AJ32" s="922"/>
      <c r="AK32" s="922"/>
      <c r="AL32" s="922"/>
      <c r="AM32" s="922"/>
      <c r="AN32" s="922"/>
      <c r="AO32" s="922"/>
      <c r="AP32" s="922"/>
      <c r="AQ32" s="922"/>
      <c r="AR32" s="59"/>
    </row>
    <row r="33" spans="2:44" ht="15.95" customHeight="1" thickBot="1" x14ac:dyDescent="0.3">
      <c r="B33" s="59"/>
      <c r="C33" s="893"/>
      <c r="D33" s="893"/>
      <c r="E33" s="893"/>
      <c r="F33" s="893"/>
      <c r="G33" s="905"/>
      <c r="H33" s="905"/>
      <c r="I33" s="905"/>
      <c r="J33" s="905"/>
      <c r="K33" s="905"/>
      <c r="L33" s="905"/>
      <c r="M33" s="905"/>
      <c r="N33" s="905"/>
      <c r="O33" s="905"/>
      <c r="P33" s="59"/>
      <c r="Q33" s="904" t="s">
        <v>90</v>
      </c>
      <c r="R33" s="904"/>
      <c r="S33" s="904"/>
      <c r="T33" s="904"/>
      <c r="U33" s="906" t="str">
        <f>M02S04F06</f>
        <v/>
      </c>
      <c r="V33" s="906"/>
      <c r="W33" s="906"/>
      <c r="X33" s="906"/>
      <c r="Y33" s="906"/>
      <c r="Z33" s="906"/>
      <c r="AA33" s="906"/>
      <c r="AB33" s="906"/>
      <c r="AC33" s="906"/>
      <c r="AD33" s="59"/>
      <c r="AE33" s="927" t="s">
        <v>979</v>
      </c>
      <c r="AF33" s="927"/>
      <c r="AG33" s="927"/>
      <c r="AH33" s="927"/>
      <c r="AI33" s="935">
        <f>SUM(EXPORT!Q3:Q53)</f>
        <v>0</v>
      </c>
      <c r="AJ33" s="935"/>
      <c r="AK33" s="935"/>
      <c r="AL33" s="935"/>
      <c r="AM33" s="935"/>
      <c r="AN33" s="935"/>
      <c r="AO33" s="935"/>
      <c r="AP33" s="935"/>
      <c r="AQ33" s="935"/>
      <c r="AR33" s="59"/>
    </row>
    <row r="34" spans="2:44" ht="15.95" customHeight="1" thickBot="1" x14ac:dyDescent="0.3">
      <c r="B34" s="59"/>
      <c r="C34" s="893" t="s">
        <v>392</v>
      </c>
      <c r="D34" s="893"/>
      <c r="E34" s="893"/>
      <c r="F34" s="893"/>
      <c r="G34" s="905">
        <f>M02S02F28</f>
        <v>0</v>
      </c>
      <c r="H34" s="905"/>
      <c r="I34" s="905"/>
      <c r="J34" s="905"/>
      <c r="K34" s="905"/>
      <c r="L34" s="905"/>
      <c r="M34" s="905"/>
      <c r="N34" s="905"/>
      <c r="O34" s="905"/>
      <c r="P34" s="59"/>
      <c r="Q34" s="904" t="s">
        <v>351</v>
      </c>
      <c r="R34" s="904"/>
      <c r="S34" s="904"/>
      <c r="T34" s="904"/>
      <c r="U34" s="906">
        <f>M02S04F11</f>
        <v>0</v>
      </c>
      <c r="V34" s="906"/>
      <c r="W34" s="906"/>
      <c r="X34" s="906"/>
      <c r="Y34" s="906"/>
      <c r="Z34" s="906"/>
      <c r="AA34" s="906"/>
      <c r="AB34" s="906"/>
      <c r="AC34" s="906"/>
      <c r="AD34" s="59"/>
      <c r="AE34" s="927" t="s">
        <v>980</v>
      </c>
      <c r="AF34" s="927"/>
      <c r="AG34" s="927"/>
      <c r="AH34" s="927"/>
      <c r="AI34" s="928">
        <f>SUM(EXPORT!H3:H53)</f>
        <v>0</v>
      </c>
      <c r="AJ34" s="928"/>
      <c r="AK34" s="928"/>
      <c r="AL34" s="928"/>
      <c r="AM34" s="928"/>
      <c r="AN34" s="928"/>
      <c r="AO34" s="928"/>
      <c r="AP34" s="928"/>
      <c r="AQ34" s="928"/>
      <c r="AR34" s="59"/>
    </row>
    <row r="35" spans="2:44" ht="15.95" customHeight="1" thickBot="1" x14ac:dyDescent="0.3">
      <c r="B35" s="59"/>
      <c r="C35" s="893"/>
      <c r="D35" s="893"/>
      <c r="E35" s="893"/>
      <c r="F35" s="893"/>
      <c r="G35" s="905"/>
      <c r="H35" s="905"/>
      <c r="I35" s="905"/>
      <c r="J35" s="905"/>
      <c r="K35" s="905"/>
      <c r="L35" s="905"/>
      <c r="M35" s="905"/>
      <c r="N35" s="905"/>
      <c r="O35" s="905"/>
      <c r="P35" s="59"/>
      <c r="Q35" s="904" t="s">
        <v>398</v>
      </c>
      <c r="R35" s="904"/>
      <c r="S35" s="904"/>
      <c r="T35" s="904"/>
      <c r="U35" s="906" t="str">
        <f>CONCATENATE(M02S04F12,"-",M02S04F12.1)</f>
        <v>-</v>
      </c>
      <c r="V35" s="906"/>
      <c r="W35" s="906"/>
      <c r="X35" s="906"/>
      <c r="Y35" s="906"/>
      <c r="Z35" s="906"/>
      <c r="AA35" s="906"/>
      <c r="AB35" s="906"/>
      <c r="AC35" s="906"/>
      <c r="AD35" s="59"/>
      <c r="AE35" s="927" t="s">
        <v>981</v>
      </c>
      <c r="AF35" s="927"/>
      <c r="AG35" s="927"/>
      <c r="AH35" s="927"/>
      <c r="AI35" s="928">
        <f>SUM(EXPORT!I3:I53)</f>
        <v>0</v>
      </c>
      <c r="AJ35" s="928"/>
      <c r="AK35" s="928"/>
      <c r="AL35" s="928"/>
      <c r="AM35" s="928"/>
      <c r="AN35" s="928"/>
      <c r="AO35" s="928"/>
      <c r="AP35" s="928"/>
      <c r="AQ35" s="928"/>
      <c r="AR35" s="59"/>
    </row>
    <row r="36" spans="2:44" ht="15.95" customHeight="1" thickBot="1" x14ac:dyDescent="0.3">
      <c r="B36" s="59"/>
      <c r="C36" s="893"/>
      <c r="D36" s="893"/>
      <c r="E36" s="893"/>
      <c r="F36" s="893"/>
      <c r="G36" s="905"/>
      <c r="H36" s="905"/>
      <c r="I36" s="905"/>
      <c r="J36" s="905"/>
      <c r="K36" s="905"/>
      <c r="L36" s="905"/>
      <c r="M36" s="905"/>
      <c r="N36" s="905"/>
      <c r="O36" s="905"/>
      <c r="P36" s="59"/>
      <c r="Q36" s="904" t="s">
        <v>994</v>
      </c>
      <c r="R36" s="904"/>
      <c r="S36" s="904"/>
      <c r="T36" s="904"/>
      <c r="U36" s="906" t="str">
        <f>M02S04F06.1</f>
        <v/>
      </c>
      <c r="V36" s="906"/>
      <c r="W36" s="906"/>
      <c r="X36" s="906"/>
      <c r="Y36" s="906"/>
      <c r="Z36" s="906"/>
      <c r="AA36" s="906"/>
      <c r="AB36" s="906"/>
      <c r="AC36" s="906"/>
      <c r="AD36" s="59"/>
      <c r="AE36" s="927" t="s">
        <v>402</v>
      </c>
      <c r="AF36" s="927"/>
      <c r="AG36" s="927"/>
      <c r="AH36" s="927"/>
      <c r="AI36" s="928">
        <f>SUM(EXPORT!J3:J53)</f>
        <v>0</v>
      </c>
      <c r="AJ36" s="928"/>
      <c r="AK36" s="928"/>
      <c r="AL36" s="928"/>
      <c r="AM36" s="928"/>
      <c r="AN36" s="928"/>
      <c r="AO36" s="928"/>
      <c r="AP36" s="928"/>
      <c r="AQ36" s="928"/>
      <c r="AR36" s="59"/>
    </row>
    <row r="37" spans="2:44" ht="15.95" customHeight="1" thickBot="1" x14ac:dyDescent="0.3">
      <c r="B37" s="59"/>
      <c r="C37" s="893" t="s">
        <v>390</v>
      </c>
      <c r="D37" s="893"/>
      <c r="E37" s="893"/>
      <c r="F37" s="893"/>
      <c r="G37" s="905">
        <f>M02S02F32</f>
        <v>0</v>
      </c>
      <c r="H37" s="905"/>
      <c r="I37" s="905"/>
      <c r="J37" s="905"/>
      <c r="K37" s="905"/>
      <c r="L37" s="905"/>
      <c r="M37" s="905"/>
      <c r="N37" s="905"/>
      <c r="O37" s="905"/>
      <c r="P37" s="59"/>
      <c r="Q37" s="904" t="s">
        <v>1018</v>
      </c>
      <c r="R37" s="904"/>
      <c r="S37" s="904"/>
      <c r="T37" s="904"/>
      <c r="U37" s="906">
        <f>M02S04F01</f>
        <v>0</v>
      </c>
      <c r="V37" s="906"/>
      <c r="W37" s="906"/>
      <c r="X37" s="906"/>
      <c r="Y37" s="906"/>
      <c r="Z37" s="906"/>
      <c r="AA37" s="906"/>
      <c r="AB37" s="906"/>
      <c r="AC37" s="906"/>
      <c r="AD37" s="59"/>
      <c r="AE37" s="927"/>
      <c r="AF37" s="927"/>
      <c r="AG37" s="927"/>
      <c r="AH37" s="927"/>
      <c r="AI37" s="922"/>
      <c r="AJ37" s="922"/>
      <c r="AK37" s="922"/>
      <c r="AL37" s="922"/>
      <c r="AM37" s="922"/>
      <c r="AN37" s="922"/>
      <c r="AO37" s="922"/>
      <c r="AP37" s="922"/>
      <c r="AQ37" s="922"/>
      <c r="AR37" s="59"/>
    </row>
    <row r="38" spans="2:44" ht="15.95" customHeight="1" thickBot="1" x14ac:dyDescent="0.3">
      <c r="B38" s="59"/>
      <c r="C38" s="893"/>
      <c r="D38" s="893"/>
      <c r="E38" s="893"/>
      <c r="F38" s="893"/>
      <c r="G38" s="905"/>
      <c r="H38" s="905"/>
      <c r="I38" s="905"/>
      <c r="J38" s="905"/>
      <c r="K38" s="905"/>
      <c r="L38" s="905"/>
      <c r="M38" s="905"/>
      <c r="N38" s="905"/>
      <c r="O38" s="905"/>
      <c r="P38" s="59"/>
      <c r="Q38" s="903" t="s">
        <v>1812</v>
      </c>
      <c r="R38" s="904"/>
      <c r="S38" s="904"/>
      <c r="T38" s="904"/>
      <c r="U38" s="906" t="str">
        <f>IF(TEMPLATE!C134=TRUE, "Yes", IF(TEMPLATE!C135=TRUE,"No",""))</f>
        <v/>
      </c>
      <c r="V38" s="906"/>
      <c r="W38" s="906"/>
      <c r="X38" s="906"/>
      <c r="Y38" s="906"/>
      <c r="Z38" s="906"/>
      <c r="AA38" s="906"/>
      <c r="AB38" s="906"/>
      <c r="AC38" s="906"/>
      <c r="AD38" s="59"/>
      <c r="AE38" s="927"/>
      <c r="AF38" s="927"/>
      <c r="AG38" s="927"/>
      <c r="AH38" s="927"/>
      <c r="AI38" s="938"/>
      <c r="AJ38" s="939"/>
      <c r="AK38" s="939"/>
      <c r="AL38" s="939"/>
      <c r="AM38" s="939"/>
      <c r="AN38" s="939"/>
      <c r="AO38" s="939"/>
      <c r="AP38" s="939"/>
      <c r="AQ38" s="940"/>
      <c r="AR38" s="59"/>
    </row>
    <row r="39" spans="2:44" ht="15.95" customHeight="1" thickBot="1" x14ac:dyDescent="0.3">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2:44" ht="15.95" customHeight="1" thickBot="1" x14ac:dyDescent="0.3">
      <c r="B40" s="293"/>
      <c r="C40" s="894" t="s">
        <v>394</v>
      </c>
      <c r="D40" s="895"/>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E40" s="917"/>
      <c r="AF40" s="917"/>
      <c r="AG40" s="917"/>
      <c r="AH40" s="917"/>
      <c r="AI40" s="917"/>
      <c r="AJ40" s="917"/>
      <c r="AK40" s="917"/>
      <c r="AL40" s="917"/>
      <c r="AM40" s="917"/>
      <c r="AN40" s="917"/>
      <c r="AO40" s="917"/>
      <c r="AP40" s="917"/>
      <c r="AQ40" s="917"/>
      <c r="AR40" s="59"/>
    </row>
    <row r="41" spans="2:44" ht="15.95" customHeight="1" thickBot="1" x14ac:dyDescent="0.3">
      <c r="B41" s="59"/>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E41" s="900"/>
      <c r="AF41" s="898"/>
      <c r="AG41" s="898"/>
      <c r="AH41" s="898"/>
      <c r="AI41" s="897"/>
      <c r="AJ41" s="897"/>
      <c r="AK41" s="897"/>
      <c r="AL41" s="897"/>
      <c r="AM41" s="897"/>
      <c r="AN41" s="897"/>
      <c r="AO41" s="897"/>
      <c r="AP41" s="897"/>
      <c r="AQ41" s="897"/>
      <c r="AR41" s="59"/>
    </row>
    <row r="42" spans="2:44" ht="15.95" customHeight="1" thickBot="1" x14ac:dyDescent="0.3">
      <c r="B42" s="59"/>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E42" s="900"/>
      <c r="AF42" s="898"/>
      <c r="AG42" s="898"/>
      <c r="AH42" s="898"/>
      <c r="AI42" s="897"/>
      <c r="AJ42" s="897"/>
      <c r="AK42" s="897"/>
      <c r="AL42" s="897"/>
      <c r="AM42" s="897"/>
      <c r="AN42" s="897"/>
      <c r="AO42" s="897"/>
      <c r="AP42" s="897"/>
      <c r="AQ42" s="897"/>
      <c r="AR42" s="59"/>
    </row>
    <row r="43" spans="2:44" ht="15.95" customHeight="1" thickBot="1" x14ac:dyDescent="0.3">
      <c r="B43" s="59"/>
      <c r="C43" s="902"/>
      <c r="D43" s="902"/>
      <c r="E43" s="902"/>
      <c r="F43" s="902"/>
      <c r="G43" s="902"/>
      <c r="H43" s="902"/>
      <c r="I43" s="902"/>
      <c r="J43" s="902"/>
      <c r="K43" s="902"/>
      <c r="L43" s="902"/>
      <c r="M43" s="902"/>
      <c r="N43" s="902"/>
      <c r="O43" s="902"/>
      <c r="P43" s="902"/>
      <c r="Q43" s="902"/>
      <c r="R43" s="902"/>
      <c r="S43" s="902"/>
      <c r="T43" s="902"/>
      <c r="U43" s="902"/>
      <c r="V43" s="902"/>
      <c r="W43" s="902"/>
      <c r="X43" s="902"/>
      <c r="Y43" s="902"/>
      <c r="Z43" s="902"/>
      <c r="AA43" s="902"/>
      <c r="AB43" s="902"/>
      <c r="AC43" s="902"/>
      <c r="AE43" s="898"/>
      <c r="AF43" s="898"/>
      <c r="AG43" s="898"/>
      <c r="AH43" s="898"/>
      <c r="AI43" s="897"/>
      <c r="AJ43" s="897"/>
      <c r="AK43" s="897"/>
      <c r="AL43" s="897"/>
      <c r="AM43" s="897"/>
      <c r="AN43" s="897"/>
      <c r="AO43" s="897"/>
      <c r="AP43" s="897"/>
      <c r="AQ43" s="897"/>
      <c r="AR43" s="59"/>
    </row>
    <row r="44" spans="2:44" ht="15.95" customHeight="1" thickBot="1" x14ac:dyDescent="0.3">
      <c r="B44" s="59"/>
      <c r="C44" s="902"/>
      <c r="D44" s="902"/>
      <c r="E44" s="902"/>
      <c r="F44" s="902"/>
      <c r="G44" s="902"/>
      <c r="H44" s="902"/>
      <c r="I44" s="902"/>
      <c r="J44" s="902"/>
      <c r="K44" s="902"/>
      <c r="L44" s="902"/>
      <c r="M44" s="902"/>
      <c r="N44" s="902"/>
      <c r="O44" s="902"/>
      <c r="P44" s="902"/>
      <c r="Q44" s="902"/>
      <c r="R44" s="902"/>
      <c r="S44" s="902"/>
      <c r="T44" s="902"/>
      <c r="U44" s="902"/>
      <c r="V44" s="902"/>
      <c r="W44" s="902"/>
      <c r="X44" s="902"/>
      <c r="Y44" s="902"/>
      <c r="Z44" s="902"/>
      <c r="AA44" s="902"/>
      <c r="AB44" s="902"/>
      <c r="AC44" s="902"/>
      <c r="AE44" s="898"/>
      <c r="AF44" s="898"/>
      <c r="AG44" s="898"/>
      <c r="AH44" s="898"/>
      <c r="AI44" s="896"/>
      <c r="AJ44" s="896"/>
      <c r="AK44" s="896"/>
      <c r="AL44" s="896"/>
      <c r="AM44" s="896"/>
      <c r="AN44" s="896"/>
      <c r="AO44" s="896"/>
      <c r="AP44" s="896"/>
      <c r="AQ44" s="896"/>
      <c r="AR44" s="59"/>
    </row>
    <row r="45" spans="2:44" ht="15.95" customHeight="1" thickBot="1" x14ac:dyDescent="0.3">
      <c r="B45" s="59"/>
      <c r="C45" s="902"/>
      <c r="D45" s="902"/>
      <c r="E45" s="902"/>
      <c r="F45" s="902"/>
      <c r="G45" s="902"/>
      <c r="H45" s="902"/>
      <c r="I45" s="902"/>
      <c r="J45" s="902"/>
      <c r="K45" s="902"/>
      <c r="L45" s="902"/>
      <c r="M45" s="902"/>
      <c r="N45" s="902"/>
      <c r="O45" s="902"/>
      <c r="P45" s="902"/>
      <c r="Q45" s="902"/>
      <c r="R45" s="902"/>
      <c r="S45" s="902"/>
      <c r="T45" s="902"/>
      <c r="U45" s="902"/>
      <c r="V45" s="902"/>
      <c r="W45" s="902"/>
      <c r="X45" s="902"/>
      <c r="Y45" s="902"/>
      <c r="Z45" s="902"/>
      <c r="AA45" s="902"/>
      <c r="AB45" s="902"/>
      <c r="AC45" s="902"/>
      <c r="AE45" s="898"/>
      <c r="AF45" s="898"/>
      <c r="AG45" s="898"/>
      <c r="AH45" s="898"/>
      <c r="AI45" s="897"/>
      <c r="AJ45" s="897"/>
      <c r="AK45" s="897"/>
      <c r="AL45" s="897"/>
      <c r="AM45" s="897"/>
      <c r="AN45" s="897"/>
      <c r="AO45" s="897"/>
      <c r="AP45" s="897"/>
      <c r="AQ45" s="897"/>
      <c r="AR45" s="59"/>
    </row>
    <row r="46" spans="2:44" ht="15.95" customHeight="1" thickBot="1" x14ac:dyDescent="0.3">
      <c r="B46" s="59"/>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E46" s="898"/>
      <c r="AF46" s="898"/>
      <c r="AG46" s="898"/>
      <c r="AH46" s="898"/>
      <c r="AI46" s="897"/>
      <c r="AJ46" s="897"/>
      <c r="AK46" s="897"/>
      <c r="AL46" s="897"/>
      <c r="AM46" s="897"/>
      <c r="AN46" s="897"/>
      <c r="AO46" s="897"/>
      <c r="AP46" s="897"/>
      <c r="AQ46" s="897"/>
      <c r="AR46" s="59"/>
    </row>
    <row r="47" spans="2:44" ht="15.95" customHeight="1" thickBot="1" x14ac:dyDescent="0.3">
      <c r="B47" s="59"/>
      <c r="C47" s="902"/>
      <c r="D47" s="902"/>
      <c r="E47" s="902"/>
      <c r="F47" s="902"/>
      <c r="G47" s="902"/>
      <c r="H47" s="902"/>
      <c r="I47" s="902"/>
      <c r="J47" s="902"/>
      <c r="K47" s="902"/>
      <c r="L47" s="902"/>
      <c r="M47" s="902"/>
      <c r="N47" s="902"/>
      <c r="O47" s="902"/>
      <c r="P47" s="902"/>
      <c r="Q47" s="902"/>
      <c r="R47" s="902"/>
      <c r="S47" s="902"/>
      <c r="T47" s="902"/>
      <c r="U47" s="902"/>
      <c r="V47" s="902"/>
      <c r="W47" s="902"/>
      <c r="X47" s="902"/>
      <c r="Y47" s="902"/>
      <c r="Z47" s="902"/>
      <c r="AA47" s="902"/>
      <c r="AB47" s="902"/>
      <c r="AC47" s="902"/>
      <c r="AD47" s="59"/>
      <c r="AE47" s="898"/>
      <c r="AF47" s="898"/>
      <c r="AG47" s="898"/>
      <c r="AH47" s="898"/>
      <c r="AI47" s="897"/>
      <c r="AJ47" s="897"/>
      <c r="AK47" s="897"/>
      <c r="AL47" s="897"/>
      <c r="AM47" s="897"/>
      <c r="AN47" s="897"/>
      <c r="AO47" s="897"/>
      <c r="AP47" s="899"/>
      <c r="AQ47" s="899"/>
      <c r="AR47" s="59"/>
    </row>
    <row r="48" spans="2:44" ht="15.95" customHeight="1" thickBot="1" x14ac:dyDescent="0.3">
      <c r="B48" s="59"/>
      <c r="C48" s="902"/>
      <c r="D48" s="902"/>
      <c r="E48" s="902"/>
      <c r="F48" s="902"/>
      <c r="G48" s="902"/>
      <c r="H48" s="902"/>
      <c r="I48" s="902"/>
      <c r="J48" s="902"/>
      <c r="K48" s="902"/>
      <c r="L48" s="902"/>
      <c r="M48" s="902"/>
      <c r="N48" s="902"/>
      <c r="O48" s="902"/>
      <c r="P48" s="902"/>
      <c r="Q48" s="902"/>
      <c r="R48" s="902"/>
      <c r="S48" s="902"/>
      <c r="T48" s="902"/>
      <c r="U48" s="902"/>
      <c r="V48" s="902"/>
      <c r="W48" s="902"/>
      <c r="X48" s="902"/>
      <c r="Y48" s="902"/>
      <c r="Z48" s="902"/>
      <c r="AA48" s="902"/>
      <c r="AB48" s="902"/>
      <c r="AC48" s="902"/>
      <c r="AD48" s="59"/>
      <c r="AE48" s="900"/>
      <c r="AF48" s="898"/>
      <c r="AG48" s="898"/>
      <c r="AH48" s="898"/>
      <c r="AI48" s="897"/>
      <c r="AJ48" s="897"/>
      <c r="AK48" s="897"/>
      <c r="AL48" s="897"/>
      <c r="AM48" s="897"/>
      <c r="AN48" s="897"/>
      <c r="AO48" s="897"/>
      <c r="AP48" s="897"/>
      <c r="AQ48" s="897"/>
      <c r="AR48" s="59"/>
    </row>
    <row r="49" spans="2:44" ht="15.95" customHeight="1" thickBot="1" x14ac:dyDescent="0.3">
      <c r="B49" s="59"/>
      <c r="C49" s="902"/>
      <c r="D49" s="902"/>
      <c r="E49" s="902"/>
      <c r="F49" s="902"/>
      <c r="G49" s="902"/>
      <c r="H49" s="902"/>
      <c r="I49" s="902"/>
      <c r="J49" s="902"/>
      <c r="K49" s="902"/>
      <c r="L49" s="902"/>
      <c r="M49" s="902"/>
      <c r="N49" s="902"/>
      <c r="O49" s="902"/>
      <c r="P49" s="902"/>
      <c r="Q49" s="902"/>
      <c r="R49" s="902"/>
      <c r="S49" s="902"/>
      <c r="T49" s="902"/>
      <c r="U49" s="902"/>
      <c r="V49" s="902"/>
      <c r="W49" s="902"/>
      <c r="X49" s="902"/>
      <c r="Y49" s="902"/>
      <c r="Z49" s="902"/>
      <c r="AA49" s="902"/>
      <c r="AB49" s="902"/>
      <c r="AC49" s="902"/>
      <c r="AD49" s="59"/>
      <c r="AE49" s="900"/>
      <c r="AF49" s="898"/>
      <c r="AG49" s="898"/>
      <c r="AH49" s="898"/>
      <c r="AI49" s="897"/>
      <c r="AJ49" s="897"/>
      <c r="AK49" s="897"/>
      <c r="AL49" s="897"/>
      <c r="AM49" s="897"/>
      <c r="AN49" s="897"/>
      <c r="AO49" s="897"/>
      <c r="AP49" s="897"/>
      <c r="AQ49" s="897"/>
      <c r="AR49" s="59"/>
    </row>
    <row r="50" spans="2:44" ht="15.95" customHeight="1" thickBot="1" x14ac:dyDescent="0.3">
      <c r="B50" s="59"/>
      <c r="C50" s="902"/>
      <c r="D50" s="902"/>
      <c r="E50" s="902"/>
      <c r="F50" s="902"/>
      <c r="G50" s="902"/>
      <c r="H50" s="902"/>
      <c r="I50" s="902"/>
      <c r="J50" s="902"/>
      <c r="K50" s="902"/>
      <c r="L50" s="902"/>
      <c r="M50" s="902"/>
      <c r="N50" s="902"/>
      <c r="O50" s="902"/>
      <c r="P50" s="902"/>
      <c r="Q50" s="902"/>
      <c r="R50" s="902"/>
      <c r="S50" s="902"/>
      <c r="T50" s="902"/>
      <c r="U50" s="902"/>
      <c r="V50" s="902"/>
      <c r="W50" s="902"/>
      <c r="X50" s="902"/>
      <c r="Y50" s="902"/>
      <c r="Z50" s="902"/>
      <c r="AA50" s="902"/>
      <c r="AB50" s="902"/>
      <c r="AC50" s="902"/>
      <c r="AD50" s="59"/>
      <c r="AE50" s="900"/>
      <c r="AF50" s="898"/>
      <c r="AG50" s="898"/>
      <c r="AH50" s="898"/>
      <c r="AI50" s="896"/>
      <c r="AJ50" s="896"/>
      <c r="AK50" s="896"/>
      <c r="AL50" s="896"/>
      <c r="AM50" s="896"/>
      <c r="AN50" s="896"/>
      <c r="AO50" s="896"/>
      <c r="AP50" s="896"/>
      <c r="AQ50" s="896"/>
      <c r="AR50" s="59"/>
    </row>
    <row r="51" spans="2:44" ht="15.95" customHeight="1" thickBot="1" x14ac:dyDescent="0.3">
      <c r="B51" s="59"/>
      <c r="C51" s="902"/>
      <c r="D51" s="902"/>
      <c r="E51" s="902"/>
      <c r="F51" s="902"/>
      <c r="G51" s="902"/>
      <c r="H51" s="902"/>
      <c r="I51" s="902"/>
      <c r="J51" s="902"/>
      <c r="K51" s="902"/>
      <c r="L51" s="902"/>
      <c r="M51" s="902"/>
      <c r="N51" s="902"/>
      <c r="O51" s="902"/>
      <c r="P51" s="902"/>
      <c r="Q51" s="902"/>
      <c r="R51" s="902"/>
      <c r="S51" s="902"/>
      <c r="T51" s="902"/>
      <c r="U51" s="902"/>
      <c r="V51" s="902"/>
      <c r="W51" s="902"/>
      <c r="X51" s="902"/>
      <c r="Y51" s="902"/>
      <c r="Z51" s="902"/>
      <c r="AA51" s="902"/>
      <c r="AB51" s="902"/>
      <c r="AC51" s="902"/>
      <c r="AD51" s="59"/>
      <c r="AE51" s="900"/>
      <c r="AF51" s="898"/>
      <c r="AG51" s="898"/>
      <c r="AH51" s="898"/>
      <c r="AI51" s="897"/>
      <c r="AJ51" s="897"/>
      <c r="AK51" s="897"/>
      <c r="AL51" s="897"/>
      <c r="AM51" s="897"/>
      <c r="AN51" s="897"/>
      <c r="AO51" s="897"/>
      <c r="AP51" s="897"/>
      <c r="AQ51" s="897"/>
      <c r="AR51" s="59"/>
    </row>
    <row r="52" spans="2:44" ht="15.95" customHeight="1" x14ac:dyDescent="0.25">
      <c r="B52" s="59"/>
      <c r="AR52" s="59"/>
    </row>
    <row r="53" spans="2:44" ht="15.95" hidden="1" customHeight="1" x14ac:dyDescent="0.25">
      <c r="B53" s="59"/>
      <c r="AR53" s="59"/>
    </row>
    <row r="54" spans="2:44" ht="15.95" hidden="1" customHeight="1" x14ac:dyDescent="0.25">
      <c r="B54" s="59"/>
      <c r="AR54" s="59"/>
    </row>
    <row r="55" spans="2:44" ht="15.95" hidden="1" customHeight="1" x14ac:dyDescent="0.25">
      <c r="B55" s="59"/>
      <c r="AR55" s="59"/>
    </row>
    <row r="56" spans="2:44" ht="15.95" hidden="1" customHeight="1" x14ac:dyDescent="0.25">
      <c r="B56" s="59"/>
      <c r="AR56" s="59"/>
    </row>
    <row r="57" spans="2:44" ht="15.95" hidden="1" customHeight="1" x14ac:dyDescent="0.25">
      <c r="B57" s="59"/>
      <c r="AR57" s="59"/>
    </row>
    <row r="58" spans="2:44" ht="15.95" hidden="1" customHeight="1" x14ac:dyDescent="0.25">
      <c r="B58" s="59"/>
      <c r="AR58" s="59"/>
    </row>
    <row r="59" spans="2:44" ht="15.95" hidden="1" customHeight="1" x14ac:dyDescent="0.25">
      <c r="B59" s="59"/>
      <c r="AR59" s="59"/>
    </row>
    <row r="60" spans="2:44" ht="15.95" hidden="1" customHeight="1" x14ac:dyDescent="0.25">
      <c r="B60" s="59"/>
      <c r="AR60" s="59"/>
    </row>
    <row r="61" spans="2:44" ht="15.95" hidden="1" customHeight="1" x14ac:dyDescent="0.25">
      <c r="B61" s="59"/>
      <c r="AR61" s="59"/>
    </row>
    <row r="62" spans="2:44" ht="15.95" hidden="1" customHeight="1" x14ac:dyDescent="0.25">
      <c r="B62" s="59"/>
      <c r="AR62" s="59"/>
    </row>
    <row r="63" spans="2:44" ht="15.95" hidden="1" customHeight="1" x14ac:dyDescent="0.25">
      <c r="B63" s="59"/>
      <c r="AR63" s="59"/>
    </row>
    <row r="64" spans="2:44" ht="15.95" hidden="1" customHeight="1" x14ac:dyDescent="0.25">
      <c r="B64" s="59"/>
      <c r="AR64" s="59"/>
    </row>
    <row r="65" spans="2:44" ht="15.95" hidden="1" customHeight="1" x14ac:dyDescent="0.25">
      <c r="B65" s="59"/>
      <c r="AD65" s="59"/>
      <c r="AE65" s="59"/>
      <c r="AF65" s="59"/>
      <c r="AG65" s="59"/>
      <c r="AH65" s="59"/>
      <c r="AI65" s="59"/>
      <c r="AJ65" s="59"/>
      <c r="AK65" s="59"/>
      <c r="AL65" s="59"/>
      <c r="AM65" s="59"/>
      <c r="AN65" s="59"/>
      <c r="AO65" s="59"/>
      <c r="AP65" s="59"/>
      <c r="AQ65" s="59"/>
      <c r="AR65" s="59"/>
    </row>
    <row r="66" spans="2:44" ht="15.95" hidden="1" customHeight="1" x14ac:dyDescent="0.25">
      <c r="B66" s="59"/>
      <c r="AD66" s="59"/>
      <c r="AR66" s="59"/>
    </row>
    <row r="67" spans="2:44" ht="15.95" hidden="1" customHeight="1" x14ac:dyDescent="0.25">
      <c r="B67" s="59"/>
      <c r="AD67" s="59"/>
      <c r="AR67" s="59"/>
    </row>
    <row r="68" spans="2:44" ht="15.95" hidden="1" customHeight="1" x14ac:dyDescent="0.25">
      <c r="B68" s="59"/>
      <c r="AD68" s="59"/>
      <c r="AR68" s="59"/>
    </row>
    <row r="69" spans="2:44" ht="15.95" hidden="1" customHeight="1" x14ac:dyDescent="0.25">
      <c r="B69" s="59"/>
      <c r="AD69" s="59"/>
      <c r="AR69" s="59"/>
    </row>
    <row r="70" spans="2:44" ht="15.95" hidden="1" customHeight="1" x14ac:dyDescent="0.25">
      <c r="B70" s="59"/>
      <c r="AD70" s="59"/>
      <c r="AR70" s="59"/>
    </row>
    <row r="71" spans="2:44" ht="15.95" hidden="1" customHeight="1" x14ac:dyDescent="0.25">
      <c r="B71" s="59"/>
      <c r="AD71" s="59"/>
      <c r="AR71" s="59"/>
    </row>
    <row r="72" spans="2:44" ht="15.95" hidden="1" customHeight="1" x14ac:dyDescent="0.25"/>
    <row r="73" spans="2:44" ht="15.95" hidden="1" customHeight="1" x14ac:dyDescent="0.25"/>
    <row r="74" spans="2:44" ht="15.95" hidden="1" customHeight="1" x14ac:dyDescent="0.25"/>
    <row r="75" spans="2:44" ht="15.95" hidden="1" customHeight="1" x14ac:dyDescent="0.25">
      <c r="AD75" s="59"/>
    </row>
    <row r="76" spans="2:44" ht="15.95" hidden="1" customHeight="1" x14ac:dyDescent="0.25">
      <c r="AD76" s="59"/>
    </row>
    <row r="77" spans="2:44" ht="15.95" hidden="1" customHeight="1" x14ac:dyDescent="0.25">
      <c r="AD77" s="59"/>
    </row>
    <row r="78" spans="2:44" ht="15.95" hidden="1" customHeight="1" x14ac:dyDescent="0.25">
      <c r="AD78" s="59"/>
    </row>
    <row r="79" spans="2:44" ht="15.95" hidden="1" customHeight="1" x14ac:dyDescent="0.25">
      <c r="AD79" s="59"/>
    </row>
    <row r="80" spans="2:44" ht="15.95" hidden="1" customHeight="1" x14ac:dyDescent="0.25">
      <c r="AD80" s="59"/>
    </row>
    <row r="81" spans="3:43" ht="15.95" hidden="1" customHeight="1" x14ac:dyDescent="0.25">
      <c r="AD81" s="59"/>
    </row>
    <row r="82" spans="3:43" ht="15.95" hidden="1" customHeight="1" x14ac:dyDescent="0.25">
      <c r="AD82" s="59"/>
    </row>
    <row r="83" spans="3:43" ht="15.95" hidden="1" customHeight="1" x14ac:dyDescent="0.25">
      <c r="AD83" s="59"/>
    </row>
    <row r="84" spans="3:43" ht="15.95" hidden="1" customHeight="1" x14ac:dyDescent="0.25">
      <c r="AD84" s="59"/>
    </row>
    <row r="85" spans="3:43" ht="15.95" hidden="1" customHeight="1" x14ac:dyDescent="0.25">
      <c r="AD85" s="59"/>
    </row>
    <row r="86" spans="3:43" ht="15.95" hidden="1" customHeight="1" x14ac:dyDescent="0.25">
      <c r="AD86" s="59"/>
    </row>
    <row r="87" spans="3:43" ht="15.95" hidden="1" customHeight="1" x14ac:dyDescent="0.25">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row>
    <row r="88" spans="3:43" ht="15.95" hidden="1" customHeight="1" x14ac:dyDescent="0.25"/>
    <row r="89" spans="3:43" ht="15.95" hidden="1" customHeight="1" x14ac:dyDescent="0.25"/>
    <row r="90" spans="3:43" ht="15.95" hidden="1" customHeight="1" x14ac:dyDescent="0.25"/>
    <row r="91" spans="3:43" ht="15.95" hidden="1" customHeight="1" x14ac:dyDescent="0.25"/>
    <row r="92" spans="3:43" ht="15.95" hidden="1" customHeight="1" x14ac:dyDescent="0.25"/>
    <row r="93" spans="3:43" ht="15.95" hidden="1" customHeight="1" x14ac:dyDescent="0.25"/>
    <row r="94" spans="3:43" ht="15.95" hidden="1" customHeight="1" x14ac:dyDescent="0.25"/>
    <row r="95" spans="3:43" ht="15.95" hidden="1" customHeight="1" x14ac:dyDescent="0.25"/>
    <row r="96" spans="3:43"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332"/>
      <c r="C200" s="332"/>
      <c r="D200" s="335"/>
      <c r="E200" s="332"/>
      <c r="F200" s="335"/>
      <c r="G200" s="335"/>
      <c r="H200" s="335"/>
      <c r="I200" s="335"/>
      <c r="J200" s="335"/>
      <c r="K200" s="335"/>
      <c r="L200" s="335"/>
      <c r="M200" s="335"/>
      <c r="N200" s="335"/>
      <c r="O200" s="335"/>
      <c r="P200" s="335"/>
      <c r="Q200" s="335"/>
      <c r="R200" s="335"/>
      <c r="S200" s="335"/>
      <c r="T200" s="335"/>
      <c r="U200" s="335"/>
      <c r="V200" s="335"/>
      <c r="W200" s="334"/>
      <c r="X200" s="336"/>
      <c r="Y200" s="335"/>
      <c r="Z200" s="335"/>
      <c r="AA200" s="335"/>
      <c r="AB200" s="335"/>
      <c r="AC200" s="335"/>
      <c r="AD200" s="335"/>
      <c r="AE200" s="335"/>
      <c r="AF200" s="335"/>
      <c r="AG200" s="335"/>
      <c r="AH200" s="335"/>
      <c r="AI200" s="335"/>
      <c r="AJ200" s="335"/>
      <c r="AK200" s="334"/>
      <c r="AL200" s="337"/>
      <c r="AM200" s="337"/>
      <c r="AN200" s="337"/>
      <c r="AO200" s="337"/>
      <c r="AP200" s="337"/>
      <c r="AQ200" s="337"/>
      <c r="AR200" s="332"/>
    </row>
    <row r="201" spans="2:44" ht="15.95" customHeight="1" x14ac:dyDescent="0.35">
      <c r="B201" s="332"/>
      <c r="C201" s="332"/>
      <c r="D201" s="335"/>
      <c r="E201" s="332"/>
      <c r="F201" s="335"/>
      <c r="G201" s="335"/>
      <c r="H201" s="335"/>
      <c r="I201" s="335"/>
      <c r="J201" s="335"/>
      <c r="K201" s="335"/>
      <c r="L201" s="335"/>
      <c r="M201" s="335"/>
      <c r="N201" s="335"/>
      <c r="O201" s="335"/>
      <c r="P201" s="335"/>
      <c r="Q201" s="335"/>
      <c r="R201" s="335"/>
      <c r="S201" s="335"/>
      <c r="T201" s="332"/>
      <c r="U201" s="332"/>
      <c r="V201" s="332"/>
      <c r="W201" s="332"/>
      <c r="X201" s="332"/>
      <c r="Y201" s="335"/>
      <c r="Z201" s="335"/>
      <c r="AA201" s="335"/>
      <c r="AB201" s="335"/>
      <c r="AC201" s="335"/>
      <c r="AD201" s="335"/>
      <c r="AE201" s="335"/>
      <c r="AF201" s="335"/>
      <c r="AG201" s="335"/>
      <c r="AH201" s="335"/>
      <c r="AI201" s="335"/>
      <c r="AJ201" s="335"/>
      <c r="AK201" s="334"/>
      <c r="AL201" s="337"/>
      <c r="AM201" s="337"/>
      <c r="AN201" s="337"/>
      <c r="AO201" s="337"/>
      <c r="AP201" s="337"/>
      <c r="AQ201" s="337"/>
      <c r="AR201" s="338" t="s">
        <v>1761</v>
      </c>
    </row>
    <row r="202" spans="2:44" ht="15.95" customHeight="1" x14ac:dyDescent="0.35">
      <c r="B202" s="332"/>
      <c r="C202" s="339"/>
      <c r="D202" s="339"/>
      <c r="E202" s="339"/>
      <c r="F202" s="339"/>
      <c r="G202" s="339"/>
      <c r="H202" s="339"/>
      <c r="I202" s="339"/>
      <c r="J202" s="339"/>
      <c r="K202" s="339"/>
      <c r="L202" s="339"/>
      <c r="M202" s="339"/>
      <c r="N202" s="339"/>
      <c r="O202" s="339"/>
      <c r="P202" s="339"/>
      <c r="Q202" s="339"/>
      <c r="R202" s="339"/>
      <c r="S202" s="339"/>
      <c r="T202" s="339"/>
      <c r="U202" s="339"/>
      <c r="V202" s="339"/>
      <c r="W202" s="333"/>
      <c r="X202" s="340"/>
      <c r="Y202" s="339"/>
      <c r="Z202" s="339"/>
      <c r="AA202" s="339"/>
      <c r="AB202" s="339"/>
      <c r="AC202" s="335"/>
      <c r="AD202" s="335"/>
      <c r="AE202" s="335"/>
      <c r="AF202" s="335"/>
      <c r="AG202" s="335"/>
      <c r="AH202" s="335"/>
      <c r="AI202" s="335"/>
      <c r="AJ202" s="335"/>
      <c r="AK202" s="334"/>
      <c r="AL202" s="337"/>
      <c r="AM202" s="337"/>
      <c r="AN202" s="337"/>
      <c r="AO202" s="337"/>
      <c r="AP202" s="337"/>
      <c r="AQ202" s="337"/>
      <c r="AR202" s="338" t="s">
        <v>1762</v>
      </c>
    </row>
    <row r="203" spans="2:44" ht="15.95" customHeight="1" x14ac:dyDescent="0.25">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row>
    <row r="204" spans="2:44" ht="15.95" customHeight="1" x14ac:dyDescent="0.25">
      <c r="B204" s="332"/>
      <c r="C204" s="341"/>
      <c r="D204" s="341"/>
      <c r="E204" s="341"/>
      <c r="F204" s="341"/>
      <c r="G204" s="341"/>
      <c r="H204" s="341"/>
      <c r="I204" s="341"/>
      <c r="J204" s="341"/>
      <c r="K204" s="341"/>
      <c r="L204" s="341"/>
      <c r="M204" s="807" t="str">
        <f>IF(PROJID=0,"",CONCATENATE("Project ",PROJID))</f>
        <v/>
      </c>
      <c r="N204" s="807"/>
      <c r="O204" s="807"/>
      <c r="P204" s="807"/>
      <c r="Q204" s="807"/>
      <c r="R204" s="807"/>
      <c r="S204" s="807"/>
      <c r="T204" s="807"/>
      <c r="U204" s="807"/>
      <c r="V204" s="807"/>
      <c r="W204" s="807"/>
      <c r="X204" s="807"/>
      <c r="Y204" s="807"/>
      <c r="Z204" s="807"/>
      <c r="AA204" s="807"/>
      <c r="AB204" s="807"/>
      <c r="AC204" s="807"/>
      <c r="AD204" s="807"/>
      <c r="AE204" s="807"/>
      <c r="AF204" s="807"/>
      <c r="AG204" s="807"/>
      <c r="AH204" s="341"/>
      <c r="AI204" s="341"/>
      <c r="AJ204" s="341"/>
      <c r="AK204" s="342"/>
      <c r="AL204" s="808"/>
      <c r="AM204" s="808"/>
      <c r="AN204" s="808"/>
      <c r="AO204" s="808"/>
      <c r="AP204" s="808"/>
      <c r="AQ204" s="808"/>
      <c r="AR204" s="808"/>
    </row>
    <row r="205" spans="2:44" ht="15.75" customHeight="1" x14ac:dyDescent="0.25">
      <c r="B205" s="332"/>
      <c r="C205" s="341"/>
      <c r="D205" s="341"/>
      <c r="E205" s="341"/>
      <c r="F205" s="341"/>
      <c r="G205" s="341"/>
      <c r="H205" s="341"/>
      <c r="I205" s="341"/>
      <c r="J205" s="341"/>
      <c r="K205" s="341"/>
      <c r="L205" s="341"/>
      <c r="M205" s="807"/>
      <c r="N205" s="807"/>
      <c r="O205" s="807"/>
      <c r="P205" s="807"/>
      <c r="Q205" s="807"/>
      <c r="R205" s="807"/>
      <c r="S205" s="807"/>
      <c r="T205" s="807"/>
      <c r="U205" s="807"/>
      <c r="V205" s="807"/>
      <c r="W205" s="807"/>
      <c r="X205" s="807"/>
      <c r="Y205" s="807"/>
      <c r="Z205" s="807"/>
      <c r="AA205" s="807"/>
      <c r="AB205" s="807"/>
      <c r="AC205" s="807"/>
      <c r="AD205" s="807"/>
      <c r="AE205" s="807"/>
      <c r="AF205" s="807"/>
      <c r="AG205" s="807"/>
      <c r="AH205" s="341"/>
      <c r="AI205" s="341"/>
      <c r="AJ205" s="341"/>
      <c r="AK205" s="341"/>
      <c r="AL205" s="341"/>
      <c r="AM205" s="341"/>
      <c r="AN205" s="805"/>
      <c r="AO205" s="805"/>
      <c r="AP205" s="805"/>
      <c r="AQ205" s="805"/>
      <c r="AR205" s="805"/>
    </row>
    <row r="206" spans="2:44" ht="15.95" customHeight="1" x14ac:dyDescent="0.25">
      <c r="B206" s="792"/>
      <c r="C206" s="792"/>
      <c r="D206" s="792"/>
      <c r="E206" s="792"/>
      <c r="F206" s="792"/>
      <c r="G206" s="792"/>
      <c r="H206" s="341"/>
      <c r="I206" s="332"/>
      <c r="J206" s="332"/>
      <c r="K206" s="332"/>
      <c r="L206" s="332"/>
      <c r="M206" s="332"/>
      <c r="N206" s="332"/>
      <c r="O206" s="332"/>
      <c r="P206" s="332"/>
      <c r="Q206" s="332"/>
      <c r="R206" s="332"/>
      <c r="S206" s="332"/>
      <c r="T206" s="332"/>
      <c r="U206" s="343"/>
      <c r="V206" s="343"/>
      <c r="W206" s="332"/>
      <c r="X206" s="343"/>
      <c r="Y206" s="343"/>
      <c r="Z206" s="343"/>
      <c r="AA206" s="343"/>
      <c r="AB206" s="343"/>
      <c r="AC206" s="343"/>
      <c r="AD206" s="343"/>
      <c r="AE206" s="341"/>
      <c r="AF206" s="341"/>
      <c r="AG206" s="341"/>
      <c r="AH206" s="341"/>
      <c r="AI206" s="341"/>
      <c r="AJ206" s="341"/>
      <c r="AK206" s="341"/>
      <c r="AL206" s="341"/>
      <c r="AM206" s="341"/>
      <c r="AN206" s="341"/>
      <c r="AO206" s="341"/>
      <c r="AP206" s="341"/>
      <c r="AQ206" s="341"/>
      <c r="AR206" s="332"/>
    </row>
    <row r="207" spans="2:44" ht="15.95" customHeight="1" x14ac:dyDescent="0.25">
      <c r="T207" s="367"/>
      <c r="U207" s="367"/>
      <c r="V207" s="367"/>
      <c r="W207" s="368" t="str">
        <f>VERSION</f>
        <v>Lighting One-Page 2.3.0</v>
      </c>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9" t="s">
        <v>1630</v>
      </c>
    </row>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sheetData>
  <sheetProtection algorithmName="SHA-512" hashValue="8SqAtdbEHo8xdK1/ohRlQcoJF6nbhxr77RabM4NyHbX1960CU+AGhPICXJLtUGCKpJjaZxBhJbgX6RnSSYoUUA==" saltValue="ya3LwXru3ybOZniXmGfeNg==" spinCount="100000" sheet="1" objects="1" scenarios="1"/>
  <mergeCells count="162">
    <mergeCell ref="B206:G206"/>
    <mergeCell ref="C11:J12"/>
    <mergeCell ref="S11:Z12"/>
    <mergeCell ref="AI11:AQ12"/>
    <mergeCell ref="C13:J14"/>
    <mergeCell ref="S13:Z14"/>
    <mergeCell ref="AI13:AQ14"/>
    <mergeCell ref="M204:AG205"/>
    <mergeCell ref="AL204:AR204"/>
    <mergeCell ref="AN205:AR205"/>
    <mergeCell ref="G37:O37"/>
    <mergeCell ref="G38:O38"/>
    <mergeCell ref="AE51:AH51"/>
    <mergeCell ref="Q36:T36"/>
    <mergeCell ref="Q37:T37"/>
    <mergeCell ref="AE40:AQ40"/>
    <mergeCell ref="AE41:AH41"/>
    <mergeCell ref="AI41:AQ41"/>
    <mergeCell ref="AE42:AH42"/>
    <mergeCell ref="AI42:AM42"/>
    <mergeCell ref="AN42:AQ42"/>
    <mergeCell ref="AE43:AH43"/>
    <mergeCell ref="AI43:AQ43"/>
    <mergeCell ref="U37:AC37"/>
    <mergeCell ref="AE29:AH29"/>
    <mergeCell ref="U38:AC38"/>
    <mergeCell ref="AE49:AH49"/>
    <mergeCell ref="AI30:AQ30"/>
    <mergeCell ref="AE31:AH31"/>
    <mergeCell ref="AI31:AQ31"/>
    <mergeCell ref="AE32:AH32"/>
    <mergeCell ref="AI32:AQ32"/>
    <mergeCell ref="AE38:AH38"/>
    <mergeCell ref="AI38:AQ38"/>
    <mergeCell ref="AE33:AH33"/>
    <mergeCell ref="AI33:AQ33"/>
    <mergeCell ref="AE34:AH34"/>
    <mergeCell ref="AI34:AQ34"/>
    <mergeCell ref="AE35:AH35"/>
    <mergeCell ref="AI35:AQ35"/>
    <mergeCell ref="AE36:AH36"/>
    <mergeCell ref="AI36:AQ36"/>
    <mergeCell ref="AE37:AH37"/>
    <mergeCell ref="AI37:AQ37"/>
    <mergeCell ref="AE30:AH30"/>
    <mergeCell ref="U25:AC25"/>
    <mergeCell ref="AE20:AH20"/>
    <mergeCell ref="AE21:AH21"/>
    <mergeCell ref="AE22:AH22"/>
    <mergeCell ref="AE23:AH23"/>
    <mergeCell ref="AE24:AH24"/>
    <mergeCell ref="AI25:AQ25"/>
    <mergeCell ref="AE28:AH28"/>
    <mergeCell ref="AI28:AQ28"/>
    <mergeCell ref="AI20:AN20"/>
    <mergeCell ref="AO20:AQ20"/>
    <mergeCell ref="Q21:T21"/>
    <mergeCell ref="Q22:T22"/>
    <mergeCell ref="Q23:T23"/>
    <mergeCell ref="U20:AC20"/>
    <mergeCell ref="U22:AC22"/>
    <mergeCell ref="U24:AC24"/>
    <mergeCell ref="Z23:AC23"/>
    <mergeCell ref="AI21:AQ21"/>
    <mergeCell ref="AI22:AQ22"/>
    <mergeCell ref="AI23:AQ23"/>
    <mergeCell ref="AI24:AQ24"/>
    <mergeCell ref="F16:AN16"/>
    <mergeCell ref="F17:AN17"/>
    <mergeCell ref="G20:O20"/>
    <mergeCell ref="Q28:T28"/>
    <mergeCell ref="C23:F23"/>
    <mergeCell ref="C32:F32"/>
    <mergeCell ref="C33:F33"/>
    <mergeCell ref="U23:Y23"/>
    <mergeCell ref="Q24:T24"/>
    <mergeCell ref="C24:F24"/>
    <mergeCell ref="G30:K30"/>
    <mergeCell ref="L30:M30"/>
    <mergeCell ref="N30:O30"/>
    <mergeCell ref="C31:F31"/>
    <mergeCell ref="C20:F20"/>
    <mergeCell ref="C22:F22"/>
    <mergeCell ref="G21:K21"/>
    <mergeCell ref="G22:K22"/>
    <mergeCell ref="L21:O21"/>
    <mergeCell ref="L22:O22"/>
    <mergeCell ref="G23:O23"/>
    <mergeCell ref="C21:F21"/>
    <mergeCell ref="C25:F25"/>
    <mergeCell ref="AI29:AQ29"/>
    <mergeCell ref="G24:O24"/>
    <mergeCell ref="G25:O25"/>
    <mergeCell ref="AE25:AH25"/>
    <mergeCell ref="Q25:T25"/>
    <mergeCell ref="Q35:T35"/>
    <mergeCell ref="Q19:AC19"/>
    <mergeCell ref="AE27:AQ27"/>
    <mergeCell ref="Q27:AC27"/>
    <mergeCell ref="Q30:T30"/>
    <mergeCell ref="Q31:T31"/>
    <mergeCell ref="Q32:T32"/>
    <mergeCell ref="Q33:T33"/>
    <mergeCell ref="Q34:T34"/>
    <mergeCell ref="Q20:T20"/>
    <mergeCell ref="G34:O34"/>
    <mergeCell ref="Q29:T29"/>
    <mergeCell ref="C27:O27"/>
    <mergeCell ref="G29:O29"/>
    <mergeCell ref="G31:O31"/>
    <mergeCell ref="G32:O32"/>
    <mergeCell ref="U21:Y21"/>
    <mergeCell ref="Z21:AC21"/>
    <mergeCell ref="C19:O19"/>
    <mergeCell ref="AE19:AQ19"/>
    <mergeCell ref="C36:F36"/>
    <mergeCell ref="G36:O36"/>
    <mergeCell ref="U28:AC28"/>
    <mergeCell ref="U30:AC30"/>
    <mergeCell ref="U32:AC32"/>
    <mergeCell ref="U33:AC33"/>
    <mergeCell ref="U34:AC34"/>
    <mergeCell ref="U35:AC35"/>
    <mergeCell ref="U36:AC36"/>
    <mergeCell ref="U31:Y31"/>
    <mergeCell ref="Z31:AA31"/>
    <mergeCell ref="AB31:AC31"/>
    <mergeCell ref="U29:Y29"/>
    <mergeCell ref="Z29:AC29"/>
    <mergeCell ref="G33:O33"/>
    <mergeCell ref="G35:O35"/>
    <mergeCell ref="C34:F34"/>
    <mergeCell ref="C35:F35"/>
    <mergeCell ref="G28:K28"/>
    <mergeCell ref="C30:F30"/>
    <mergeCell ref="C28:F28"/>
    <mergeCell ref="C29:F29"/>
    <mergeCell ref="L28:O28"/>
    <mergeCell ref="C37:F37"/>
    <mergeCell ref="C38:F38"/>
    <mergeCell ref="C40:AC40"/>
    <mergeCell ref="AI50:AM50"/>
    <mergeCell ref="AN50:AQ50"/>
    <mergeCell ref="AI51:AQ51"/>
    <mergeCell ref="AI48:AM48"/>
    <mergeCell ref="AE45:AH45"/>
    <mergeCell ref="AI45:AQ45"/>
    <mergeCell ref="AE46:AH46"/>
    <mergeCell ref="AI46:AQ46"/>
    <mergeCell ref="AE47:AH47"/>
    <mergeCell ref="AI47:AM47"/>
    <mergeCell ref="AN47:AO47"/>
    <mergeCell ref="AP47:AQ47"/>
    <mergeCell ref="AE48:AH48"/>
    <mergeCell ref="C41:AC51"/>
    <mergeCell ref="AN48:AQ48"/>
    <mergeCell ref="Q38:T38"/>
    <mergeCell ref="AE44:AH44"/>
    <mergeCell ref="AI44:AM44"/>
    <mergeCell ref="AN44:AQ44"/>
    <mergeCell ref="AI49:AQ49"/>
    <mergeCell ref="AE50:AH50"/>
  </mergeCells>
  <conditionalFormatting sqref="AI20 AO20">
    <cfRule type="containsBlanks" dxfId="1" priority="77">
      <formula>LEN(TRIM(AI20))=0</formula>
    </cfRule>
  </conditionalFormatting>
  <conditionalFormatting sqref="AI21:AQ25">
    <cfRule type="containsBlanks" dxfId="0" priority="14">
      <formula>LEN(TRIM(AI21))=0</formula>
    </cfRule>
  </conditionalFormatting>
  <dataValidations disablePrompts="1" count="5">
    <dataValidation type="list" allowBlank="1" showInputMessage="1" sqref="AI21:AQ21" xr:uid="{00000000-0002-0000-2D00-000000000000}">
      <formula1>IMPLSPECNAME</formula1>
    </dataValidation>
    <dataValidation type="list" allowBlank="1" showInputMessage="1" sqref="AI22:AQ22" xr:uid="{00000000-0002-0000-2D00-000001000000}">
      <formula1>ENGNRSNAMES</formula1>
    </dataValidation>
    <dataValidation type="list" allowBlank="1" showInputMessage="1" showErrorMessage="1" sqref="AI23:AQ23" xr:uid="{00000000-0002-0000-2D00-000002000000}">
      <formula1>"SUBMITTED,REVIEWED,FINAL"</formula1>
    </dataValidation>
    <dataValidation allowBlank="1" showErrorMessage="1" sqref="D203:AR203 D200:AR200 Y201:AR201 AN205:AR205 C202:AR202 C201:S201" xr:uid="{31804FFD-AE37-4D7D-B313-DB0D8600DAD8}"/>
    <dataValidation type="list" allowBlank="1" showInputMessage="1" showErrorMessage="1" sqref="AO20:AQ20" xr:uid="{55E25B0C-6DB2-4757-86D6-98D8626F3D3D}">
      <formula1>"Yes"</formula1>
    </dataValidation>
  </dataValidations>
  <printOptions horizontalCentered="1" verticalCentered="1"/>
  <pageMargins left="0.3" right="0.3" top="0.3" bottom="0.3" header="0.25" footer="0.25"/>
  <pageSetup scale="6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6">
    <tabColor theme="4" tint="-0.249977111117893"/>
  </sheetPr>
  <dimension ref="A1:AU147"/>
  <sheetViews>
    <sheetView topLeftCell="A68" zoomScale="85" zoomScaleNormal="85" workbookViewId="0">
      <selection activeCell="I95" sqref="I95"/>
    </sheetView>
  </sheetViews>
  <sheetFormatPr defaultColWidth="0" defaultRowHeight="15" x14ac:dyDescent="0.25"/>
  <cols>
    <col min="1" max="1" width="10.5703125" style="57" customWidth="1"/>
    <col min="2" max="2" width="23.42578125" customWidth="1"/>
    <col min="3" max="3" width="35.28515625" bestFit="1" customWidth="1"/>
    <col min="4" max="4" width="13.85546875" customWidth="1"/>
    <col min="5" max="5" width="6.85546875" customWidth="1"/>
    <col min="6" max="6" width="11.28515625" customWidth="1"/>
    <col min="7" max="7" width="9.7109375" customWidth="1"/>
    <col min="8" max="8" width="13" customWidth="1"/>
    <col min="9" max="9" width="11.140625" customWidth="1"/>
    <col min="10" max="10" width="6.140625" customWidth="1"/>
    <col min="11" max="11" width="13.28515625" customWidth="1"/>
    <col min="12" max="13" width="7" customWidth="1"/>
    <col min="14" max="14" width="8.5703125" customWidth="1"/>
    <col min="15" max="15" width="17.7109375" style="57" customWidth="1"/>
    <col min="16" max="16" width="24.140625" customWidth="1"/>
    <col min="17" max="17" width="11.5703125" customWidth="1"/>
    <col min="18" max="18" width="12.140625" customWidth="1"/>
    <col min="19" max="19" width="11.7109375" customWidth="1"/>
    <col min="20" max="20" width="16" customWidth="1"/>
    <col min="21" max="22" width="20.140625" customWidth="1"/>
    <col min="23" max="23" width="11" customWidth="1"/>
    <col min="24" max="24" width="7.85546875" customWidth="1"/>
    <col min="25" max="25" width="30.7109375" customWidth="1"/>
    <col min="26" max="26" width="9.85546875" customWidth="1"/>
    <col min="27" max="27" width="17" customWidth="1"/>
    <col min="28" max="28" width="15.42578125" customWidth="1"/>
    <col min="29" max="29" width="18.85546875" customWidth="1"/>
    <col min="30" max="30" width="9.140625" customWidth="1"/>
    <col min="31" max="31" width="13.85546875" style="57" customWidth="1"/>
    <col min="32" max="32" width="34.85546875" customWidth="1"/>
    <col min="33" max="33" width="17.85546875" customWidth="1"/>
    <col min="34" max="34" width="21.5703125" customWidth="1"/>
    <col min="35" max="35" width="9.140625" customWidth="1"/>
    <col min="36" max="36" width="8.28515625" customWidth="1"/>
    <col min="37" max="37" width="7" customWidth="1"/>
    <col min="38" max="38" width="7.5703125" customWidth="1"/>
    <col min="39" max="39" width="6.7109375" customWidth="1"/>
    <col min="40" max="40" width="5.85546875" customWidth="1"/>
    <col min="41" max="41" width="6.5703125" customWidth="1"/>
    <col min="42" max="42" width="10.85546875" customWidth="1"/>
    <col min="43" max="43" width="13.140625" customWidth="1"/>
    <col min="44" max="47" width="9.140625" customWidth="1"/>
    <col min="48" max="16384" width="9.140625" hidden="1"/>
  </cols>
  <sheetData>
    <row r="1" spans="1:47" ht="24.75" customHeight="1" x14ac:dyDescent="0.25">
      <c r="A1" s="80" t="s">
        <v>92</v>
      </c>
      <c r="B1" s="81" t="s">
        <v>122</v>
      </c>
      <c r="C1" s="81" t="s">
        <v>123</v>
      </c>
      <c r="D1" s="81" t="s">
        <v>139</v>
      </c>
      <c r="E1" s="81" t="s">
        <v>173</v>
      </c>
      <c r="F1" s="79" t="s">
        <v>94</v>
      </c>
      <c r="G1" s="79" t="s">
        <v>470</v>
      </c>
      <c r="H1" s="79" t="s">
        <v>471</v>
      </c>
      <c r="I1" s="81" t="s">
        <v>97</v>
      </c>
      <c r="J1" s="81" t="s">
        <v>475</v>
      </c>
      <c r="K1" s="81" t="s">
        <v>705</v>
      </c>
      <c r="L1" s="81" t="s">
        <v>790</v>
      </c>
      <c r="M1" s="431" t="s">
        <v>140</v>
      </c>
      <c r="N1" s="81" t="s">
        <v>1191</v>
      </c>
      <c r="O1" s="80" t="s">
        <v>92</v>
      </c>
      <c r="P1" s="81" t="s">
        <v>124</v>
      </c>
      <c r="Q1" s="81" t="s">
        <v>125</v>
      </c>
      <c r="R1" s="81" t="s">
        <v>140</v>
      </c>
      <c r="S1" s="81" t="s">
        <v>141</v>
      </c>
      <c r="T1" s="81" t="s">
        <v>94</v>
      </c>
      <c r="U1" s="81" t="s">
        <v>470</v>
      </c>
      <c r="V1" s="81" t="s">
        <v>471</v>
      </c>
      <c r="W1" s="81" t="s">
        <v>97</v>
      </c>
      <c r="X1" s="81" t="s">
        <v>475</v>
      </c>
      <c r="Y1" s="81" t="s">
        <v>705</v>
      </c>
      <c r="Z1" s="81" t="s">
        <v>790</v>
      </c>
      <c r="AA1" s="174" t="s">
        <v>1124</v>
      </c>
      <c r="AB1" s="74"/>
      <c r="AC1" s="76" t="s">
        <v>0</v>
      </c>
      <c r="AD1" s="75"/>
      <c r="AE1" s="77" t="s">
        <v>92</v>
      </c>
      <c r="AF1" s="77" t="s">
        <v>775</v>
      </c>
      <c r="AG1" s="75" t="s">
        <v>645</v>
      </c>
      <c r="AH1" s="75" t="s">
        <v>646</v>
      </c>
      <c r="AI1" t="s">
        <v>790</v>
      </c>
      <c r="AJ1" s="75" t="s">
        <v>100</v>
      </c>
      <c r="AK1" s="75" t="s">
        <v>94</v>
      </c>
      <c r="AL1" s="75" t="s">
        <v>470</v>
      </c>
      <c r="AM1" s="75" t="s">
        <v>471</v>
      </c>
      <c r="AN1" s="75" t="s">
        <v>614</v>
      </c>
      <c r="AO1" s="75" t="s">
        <v>475</v>
      </c>
      <c r="AP1" s="75" t="s">
        <v>613</v>
      </c>
      <c r="AQ1" s="75" t="s">
        <v>460</v>
      </c>
      <c r="AR1" t="s">
        <v>837</v>
      </c>
      <c r="AS1" s="75" t="s">
        <v>612</v>
      </c>
      <c r="AT1" s="75"/>
      <c r="AU1" t="s">
        <v>791</v>
      </c>
    </row>
    <row r="2" spans="1:47" x14ac:dyDescent="0.25">
      <c r="A2" s="189" t="s">
        <v>477</v>
      </c>
      <c r="B2" s="190" t="s">
        <v>1163</v>
      </c>
      <c r="C2" s="190"/>
      <c r="D2" s="190">
        <v>39</v>
      </c>
      <c r="E2" s="190">
        <v>9999</v>
      </c>
      <c r="F2" s="190" t="s">
        <v>554</v>
      </c>
      <c r="G2" s="190"/>
      <c r="H2" s="190"/>
      <c r="I2" s="190" t="s">
        <v>108</v>
      </c>
      <c r="J2" s="190">
        <v>1</v>
      </c>
      <c r="K2" s="190"/>
      <c r="L2" s="190"/>
      <c r="M2" s="428">
        <v>20</v>
      </c>
      <c r="O2" s="57">
        <v>40616</v>
      </c>
      <c r="P2" s="75" t="s">
        <v>720</v>
      </c>
      <c r="Q2" s="75"/>
      <c r="R2" s="75" t="str">
        <f>""</f>
        <v/>
      </c>
      <c r="S2" s="75"/>
      <c r="T2" s="75" t="s">
        <v>106</v>
      </c>
      <c r="U2" s="75" t="s">
        <v>607</v>
      </c>
      <c r="V2" s="75"/>
      <c r="W2" s="75" t="s">
        <v>108</v>
      </c>
      <c r="X2" s="78">
        <v>1</v>
      </c>
      <c r="Y2" s="75"/>
      <c r="Z2" s="78">
        <v>0.08</v>
      </c>
      <c r="AA2">
        <v>7.0000000000000007E-2</v>
      </c>
      <c r="AB2" s="75"/>
      <c r="AC2" s="29" t="s">
        <v>789</v>
      </c>
      <c r="AD2" s="75"/>
      <c r="AE2" s="77">
        <v>4050701</v>
      </c>
      <c r="AF2" s="77" t="s">
        <v>773</v>
      </c>
      <c r="AG2" s="75" t="s">
        <v>783</v>
      </c>
      <c r="AH2" s="75"/>
      <c r="AI2" s="75"/>
      <c r="AJ2" s="75">
        <v>15</v>
      </c>
      <c r="AK2" s="75"/>
      <c r="AL2" s="75"/>
      <c r="AM2" s="75"/>
      <c r="AN2" s="75"/>
      <c r="AO2" s="75">
        <v>1</v>
      </c>
      <c r="AP2" s="75" t="s">
        <v>111</v>
      </c>
      <c r="AQ2" s="77"/>
      <c r="AR2" t="s">
        <v>722</v>
      </c>
      <c r="AS2" s="75" t="s">
        <v>111</v>
      </c>
      <c r="AT2" s="75"/>
    </row>
    <row r="3" spans="1:47" x14ac:dyDescent="0.25">
      <c r="A3" s="189" t="s">
        <v>477</v>
      </c>
      <c r="B3" s="190" t="s">
        <v>1905</v>
      </c>
      <c r="C3" s="190"/>
      <c r="D3" s="190">
        <v>27</v>
      </c>
      <c r="E3" s="190">
        <v>9999</v>
      </c>
      <c r="F3" s="190" t="s">
        <v>1249</v>
      </c>
      <c r="G3" s="190"/>
      <c r="H3" s="190"/>
      <c r="I3" s="190" t="s">
        <v>108</v>
      </c>
      <c r="J3" s="190">
        <v>2</v>
      </c>
      <c r="K3" s="190"/>
      <c r="L3" s="190"/>
      <c r="M3" s="428">
        <v>20</v>
      </c>
      <c r="O3" s="57">
        <v>40617</v>
      </c>
      <c r="P3" s="75" t="s">
        <v>721</v>
      </c>
      <c r="Q3" s="75"/>
      <c r="R3" s="75" t="str">
        <f>""</f>
        <v/>
      </c>
      <c r="S3" s="75"/>
      <c r="T3" s="75" t="s">
        <v>106</v>
      </c>
      <c r="U3" s="75" t="s">
        <v>608</v>
      </c>
      <c r="V3" s="75"/>
      <c r="W3" s="75" t="s">
        <v>108</v>
      </c>
      <c r="X3" s="78">
        <v>2</v>
      </c>
      <c r="Y3" s="75"/>
      <c r="Z3" s="78">
        <v>0.08</v>
      </c>
      <c r="AA3">
        <v>7.0000000000000007E-2</v>
      </c>
      <c r="AB3" s="75"/>
      <c r="AC3" s="29" t="s">
        <v>773</v>
      </c>
      <c r="AD3" s="75"/>
      <c r="AE3" s="77">
        <v>4051001</v>
      </c>
      <c r="AF3" s="77" t="s">
        <v>773</v>
      </c>
      <c r="AG3" s="75" t="s">
        <v>785</v>
      </c>
      <c r="AH3" s="75"/>
      <c r="AI3" s="75"/>
      <c r="AJ3" s="75">
        <v>15</v>
      </c>
      <c r="AK3" s="75"/>
      <c r="AL3" s="75"/>
      <c r="AM3" s="75"/>
      <c r="AN3" s="75"/>
      <c r="AO3" s="75">
        <v>2</v>
      </c>
      <c r="AP3" s="75" t="s">
        <v>111</v>
      </c>
      <c r="AQ3" s="77"/>
      <c r="AR3" t="s">
        <v>722</v>
      </c>
      <c r="AS3" s="75" t="s">
        <v>111</v>
      </c>
      <c r="AT3" s="75"/>
    </row>
    <row r="4" spans="1:47" x14ac:dyDescent="0.25">
      <c r="A4" s="189" t="s">
        <v>552</v>
      </c>
      <c r="B4" s="190" t="s">
        <v>1904</v>
      </c>
      <c r="C4" s="190"/>
      <c r="D4" s="190">
        <v>47</v>
      </c>
      <c r="E4" s="190">
        <v>9999</v>
      </c>
      <c r="F4" s="190" t="s">
        <v>555</v>
      </c>
      <c r="G4" s="190"/>
      <c r="H4" s="190"/>
      <c r="I4" s="190" t="s">
        <v>108</v>
      </c>
      <c r="J4" s="190">
        <v>3</v>
      </c>
      <c r="K4" s="190"/>
      <c r="L4" s="190"/>
      <c r="M4" s="428">
        <v>20</v>
      </c>
      <c r="O4" s="77"/>
      <c r="P4" t="s">
        <v>1038</v>
      </c>
      <c r="Q4" s="75"/>
      <c r="R4" s="75" t="s">
        <v>658</v>
      </c>
      <c r="S4" s="75"/>
      <c r="T4" s="75"/>
      <c r="U4" s="75"/>
      <c r="V4" s="75"/>
      <c r="W4" s="75"/>
      <c r="X4" s="78">
        <v>3</v>
      </c>
      <c r="Y4" s="75"/>
      <c r="Z4">
        <v>0.08</v>
      </c>
      <c r="AB4" s="75"/>
      <c r="AC4" s="29"/>
      <c r="AD4" s="75"/>
      <c r="AE4" s="57">
        <v>4050101</v>
      </c>
      <c r="AF4" s="77" t="s">
        <v>773</v>
      </c>
      <c r="AG4" t="s">
        <v>1035</v>
      </c>
      <c r="AH4" s="140"/>
      <c r="AI4" s="140"/>
      <c r="AJ4" s="140">
        <v>15</v>
      </c>
      <c r="AK4" s="140"/>
      <c r="AL4" s="140"/>
      <c r="AM4" s="140"/>
      <c r="AN4" s="140"/>
      <c r="AO4" s="75">
        <v>3</v>
      </c>
      <c r="AP4" s="75" t="s">
        <v>111</v>
      </c>
      <c r="AQ4" s="139"/>
      <c r="AR4" t="s">
        <v>722</v>
      </c>
      <c r="AS4" s="75" t="s">
        <v>111</v>
      </c>
      <c r="AT4" s="75"/>
    </row>
    <row r="5" spans="1:47" x14ac:dyDescent="0.25">
      <c r="A5" s="427"/>
      <c r="B5" s="428" t="s">
        <v>1903</v>
      </c>
      <c r="C5" s="428"/>
      <c r="D5" s="428">
        <v>44</v>
      </c>
      <c r="E5" s="428">
        <v>9999</v>
      </c>
      <c r="F5" s="428"/>
      <c r="G5" s="428"/>
      <c r="H5" s="428"/>
      <c r="I5" s="428"/>
      <c r="J5" s="428"/>
      <c r="K5" s="428"/>
      <c r="L5" s="428"/>
      <c r="M5" s="428">
        <v>14</v>
      </c>
      <c r="O5" s="57">
        <v>40618</v>
      </c>
      <c r="P5" s="75" t="s">
        <v>715</v>
      </c>
      <c r="Q5" s="75"/>
      <c r="R5" s="75">
        <v>16</v>
      </c>
      <c r="S5" s="75"/>
      <c r="T5" s="75" t="s">
        <v>717</v>
      </c>
      <c r="U5" s="75" t="s">
        <v>469</v>
      </c>
      <c r="V5" s="75" t="s">
        <v>472</v>
      </c>
      <c r="W5" s="75" t="s">
        <v>108</v>
      </c>
      <c r="X5" s="78">
        <v>4</v>
      </c>
      <c r="Y5" s="75" t="s">
        <v>707</v>
      </c>
      <c r="Z5" s="78">
        <v>0.08</v>
      </c>
      <c r="AA5">
        <v>7.0000000000000007E-2</v>
      </c>
      <c r="AB5" s="75"/>
      <c r="AC5" s="29"/>
      <c r="AD5" s="75"/>
      <c r="AE5" s="77">
        <v>4050201</v>
      </c>
      <c r="AF5" s="77" t="s">
        <v>773</v>
      </c>
      <c r="AG5" s="75" t="s">
        <v>779</v>
      </c>
      <c r="AH5" s="75"/>
      <c r="AI5" s="75"/>
      <c r="AJ5" s="75">
        <v>20</v>
      </c>
      <c r="AK5" s="75"/>
      <c r="AL5" s="75"/>
      <c r="AM5" s="75"/>
      <c r="AN5" s="75"/>
      <c r="AO5" s="75">
        <v>4</v>
      </c>
      <c r="AP5" s="75" t="s">
        <v>421</v>
      </c>
      <c r="AQ5" s="77"/>
      <c r="AR5" t="s">
        <v>722</v>
      </c>
      <c r="AS5" s="75" t="s">
        <v>111</v>
      </c>
      <c r="AT5" s="75"/>
    </row>
    <row r="6" spans="1:47" x14ac:dyDescent="0.25">
      <c r="A6" s="427"/>
      <c r="B6" s="428" t="s">
        <v>1902</v>
      </c>
      <c r="C6" s="428"/>
      <c r="D6" s="428">
        <v>34</v>
      </c>
      <c r="E6" s="428">
        <v>9999</v>
      </c>
      <c r="F6" s="428"/>
      <c r="G6" s="428"/>
      <c r="H6" s="428"/>
      <c r="I6" s="428"/>
      <c r="J6" s="428"/>
      <c r="K6" s="428"/>
      <c r="L6" s="428"/>
      <c r="M6" s="428">
        <v>13</v>
      </c>
      <c r="O6" s="57">
        <v>40618</v>
      </c>
      <c r="P6" s="75" t="s">
        <v>716</v>
      </c>
      <c r="Q6" s="75"/>
      <c r="R6" s="75">
        <v>32</v>
      </c>
      <c r="S6" s="75"/>
      <c r="T6" s="75" t="s">
        <v>717</v>
      </c>
      <c r="U6" s="75" t="s">
        <v>469</v>
      </c>
      <c r="V6" s="75" t="s">
        <v>556</v>
      </c>
      <c r="W6" s="75" t="s">
        <v>108</v>
      </c>
      <c r="X6" s="78">
        <v>5</v>
      </c>
      <c r="Y6" s="75" t="s">
        <v>707</v>
      </c>
      <c r="Z6" s="78">
        <v>0.08</v>
      </c>
      <c r="AA6">
        <v>7.0000000000000007E-2</v>
      </c>
      <c r="AB6" s="75"/>
      <c r="AC6" s="29"/>
      <c r="AD6" s="75"/>
      <c r="AE6" s="77">
        <v>4052201</v>
      </c>
      <c r="AF6" s="77" t="s">
        <v>773</v>
      </c>
      <c r="AG6" s="75" t="s">
        <v>780</v>
      </c>
      <c r="AH6" s="75"/>
      <c r="AI6" s="75"/>
      <c r="AJ6" s="75">
        <v>20</v>
      </c>
      <c r="AK6" s="75"/>
      <c r="AL6" s="75"/>
      <c r="AM6" s="75"/>
      <c r="AN6" s="75"/>
      <c r="AO6" s="75">
        <v>5</v>
      </c>
      <c r="AP6" s="75" t="s">
        <v>421</v>
      </c>
      <c r="AQ6" s="77"/>
      <c r="AR6" t="s">
        <v>722</v>
      </c>
      <c r="AS6" s="75" t="s">
        <v>111</v>
      </c>
      <c r="AT6" s="75"/>
    </row>
    <row r="7" spans="1:47" x14ac:dyDescent="0.25">
      <c r="A7" s="427"/>
      <c r="B7" s="428" t="s">
        <v>1157</v>
      </c>
      <c r="C7" s="428"/>
      <c r="D7" s="428">
        <v>0</v>
      </c>
      <c r="E7" s="428">
        <v>9999</v>
      </c>
      <c r="F7" s="428"/>
      <c r="G7" s="428"/>
      <c r="H7" s="428"/>
      <c r="I7" s="428"/>
      <c r="J7" s="428"/>
      <c r="K7" s="428"/>
      <c r="L7" s="428"/>
      <c r="M7" s="428">
        <v>10</v>
      </c>
      <c r="O7" s="57">
        <v>40621</v>
      </c>
      <c r="P7" s="75" t="s">
        <v>587</v>
      </c>
      <c r="Q7" s="75"/>
      <c r="R7" s="75">
        <v>23</v>
      </c>
      <c r="S7" s="75"/>
      <c r="T7" s="75" t="s">
        <v>609</v>
      </c>
      <c r="U7" s="75" t="s">
        <v>557</v>
      </c>
      <c r="V7" s="75" t="s">
        <v>472</v>
      </c>
      <c r="W7" s="75" t="s">
        <v>108</v>
      </c>
      <c r="X7" s="78">
        <v>6</v>
      </c>
      <c r="Y7" s="75" t="s">
        <v>707</v>
      </c>
      <c r="Z7" s="78">
        <v>0.08</v>
      </c>
      <c r="AA7">
        <v>7.0000000000000007E-2</v>
      </c>
      <c r="AB7" s="75"/>
      <c r="AC7" s="29"/>
      <c r="AD7" s="75"/>
      <c r="AE7" s="57">
        <v>4050501</v>
      </c>
      <c r="AF7" s="77" t="s">
        <v>773</v>
      </c>
      <c r="AG7" t="s">
        <v>1041</v>
      </c>
      <c r="AH7" s="143"/>
      <c r="AI7" s="143"/>
      <c r="AJ7" s="143">
        <v>15</v>
      </c>
      <c r="AK7" s="143"/>
      <c r="AL7" s="143"/>
      <c r="AM7" s="143"/>
      <c r="AN7" s="143"/>
      <c r="AO7" s="75">
        <v>6</v>
      </c>
      <c r="AP7" s="75" t="s">
        <v>421</v>
      </c>
      <c r="AQ7" s="142"/>
      <c r="AR7" t="s">
        <v>722</v>
      </c>
      <c r="AS7" s="75" t="s">
        <v>111</v>
      </c>
      <c r="AT7" s="75"/>
    </row>
    <row r="8" spans="1:47" x14ac:dyDescent="0.25">
      <c r="A8" s="427"/>
      <c r="B8" s="428" t="s">
        <v>838</v>
      </c>
      <c r="C8" s="428"/>
      <c r="D8" s="428">
        <v>0</v>
      </c>
      <c r="E8" s="428">
        <v>9999</v>
      </c>
      <c r="F8" s="428"/>
      <c r="G8" s="428"/>
      <c r="H8" s="428"/>
      <c r="I8" s="428"/>
      <c r="J8" s="428"/>
      <c r="K8" s="428"/>
      <c r="L8" s="428"/>
      <c r="M8" s="428">
        <v>10</v>
      </c>
      <c r="O8" s="57">
        <v>40621</v>
      </c>
      <c r="P8" s="75" t="s">
        <v>588</v>
      </c>
      <c r="Q8" s="75"/>
      <c r="R8" s="75">
        <v>46</v>
      </c>
      <c r="S8" s="75"/>
      <c r="T8" s="75" t="s">
        <v>609</v>
      </c>
      <c r="U8" s="75" t="s">
        <v>557</v>
      </c>
      <c r="V8" s="75" t="s">
        <v>556</v>
      </c>
      <c r="W8" s="75" t="s">
        <v>108</v>
      </c>
      <c r="X8" s="78">
        <v>7</v>
      </c>
      <c r="Y8" s="75" t="s">
        <v>707</v>
      </c>
      <c r="Z8" s="78">
        <v>0.08</v>
      </c>
      <c r="AA8">
        <v>7.0000000000000007E-2</v>
      </c>
      <c r="AB8" s="75"/>
      <c r="AC8" s="29"/>
      <c r="AD8" s="75"/>
      <c r="AE8" s="77">
        <v>4051801</v>
      </c>
      <c r="AF8" s="77" t="s">
        <v>773</v>
      </c>
      <c r="AG8" s="75" t="s">
        <v>774</v>
      </c>
      <c r="AH8" s="75"/>
      <c r="AI8" s="75"/>
      <c r="AJ8" s="75">
        <v>15</v>
      </c>
      <c r="AK8" s="75"/>
      <c r="AL8" s="75"/>
      <c r="AM8" s="75"/>
      <c r="AN8" s="75"/>
      <c r="AO8" s="75">
        <v>7</v>
      </c>
      <c r="AP8" s="75" t="s">
        <v>111</v>
      </c>
      <c r="AQ8" s="77"/>
      <c r="AR8" t="s">
        <v>722</v>
      </c>
      <c r="AS8" s="75" t="s">
        <v>111</v>
      </c>
      <c r="AT8" s="75"/>
    </row>
    <row r="9" spans="1:47" x14ac:dyDescent="0.25">
      <c r="A9" s="191"/>
      <c r="B9" s="190" t="s">
        <v>1038</v>
      </c>
      <c r="C9" s="190"/>
      <c r="D9" s="190" t="s">
        <v>658</v>
      </c>
      <c r="E9" s="190"/>
      <c r="F9" s="190"/>
      <c r="G9" s="190"/>
      <c r="H9" s="190"/>
      <c r="I9" s="190" t="s">
        <v>108</v>
      </c>
      <c r="J9" s="190">
        <v>4</v>
      </c>
      <c r="K9" s="190"/>
      <c r="L9" s="190"/>
      <c r="M9" s="428"/>
      <c r="O9" s="57">
        <v>40621</v>
      </c>
      <c r="P9" s="75" t="s">
        <v>589</v>
      </c>
      <c r="Q9" s="75" t="s">
        <v>142</v>
      </c>
      <c r="R9" s="75">
        <v>24</v>
      </c>
      <c r="S9" s="75"/>
      <c r="T9" s="75" t="s">
        <v>609</v>
      </c>
      <c r="U9" s="75" t="s">
        <v>558</v>
      </c>
      <c r="V9" s="75" t="s">
        <v>472</v>
      </c>
      <c r="W9" s="75" t="s">
        <v>108</v>
      </c>
      <c r="X9" s="78">
        <v>8</v>
      </c>
      <c r="Y9" s="75" t="s">
        <v>707</v>
      </c>
      <c r="Z9" s="78">
        <v>0.08</v>
      </c>
      <c r="AA9">
        <v>7.0000000000000007E-2</v>
      </c>
      <c r="AB9" s="75"/>
      <c r="AC9" s="29"/>
      <c r="AD9" s="75"/>
      <c r="AE9" s="57">
        <v>4050401</v>
      </c>
      <c r="AF9" s="77" t="s">
        <v>773</v>
      </c>
      <c r="AG9" t="s">
        <v>1033</v>
      </c>
      <c r="AH9" s="140"/>
      <c r="AI9" s="140"/>
      <c r="AJ9" s="140">
        <v>15</v>
      </c>
      <c r="AK9" s="140"/>
      <c r="AL9" s="140"/>
      <c r="AM9" s="140"/>
      <c r="AN9" s="140"/>
      <c r="AO9" s="75">
        <v>8</v>
      </c>
      <c r="AP9" s="75" t="s">
        <v>421</v>
      </c>
      <c r="AQ9" s="139"/>
      <c r="AR9" t="s">
        <v>722</v>
      </c>
      <c r="AS9" s="75" t="s">
        <v>111</v>
      </c>
      <c r="AT9" s="75"/>
    </row>
    <row r="10" spans="1:47" x14ac:dyDescent="0.25">
      <c r="A10" s="189" t="s">
        <v>478</v>
      </c>
      <c r="B10" s="190" t="s">
        <v>479</v>
      </c>
      <c r="C10" s="190" t="s">
        <v>1213</v>
      </c>
      <c r="D10" s="190">
        <v>28</v>
      </c>
      <c r="E10" s="190"/>
      <c r="F10" s="190" t="s">
        <v>121</v>
      </c>
      <c r="G10" s="190" t="s">
        <v>469</v>
      </c>
      <c r="H10" s="190" t="s">
        <v>472</v>
      </c>
      <c r="I10" s="190" t="s">
        <v>108</v>
      </c>
      <c r="J10" s="190">
        <v>5</v>
      </c>
      <c r="K10" s="190" t="s">
        <v>706</v>
      </c>
      <c r="L10" s="190"/>
      <c r="M10" s="428"/>
      <c r="O10" s="57">
        <v>40621</v>
      </c>
      <c r="P10" s="75" t="s">
        <v>590</v>
      </c>
      <c r="Q10" s="75" t="s">
        <v>144</v>
      </c>
      <c r="R10" s="75">
        <v>44</v>
      </c>
      <c r="S10" s="75"/>
      <c r="T10" s="75" t="s">
        <v>609</v>
      </c>
      <c r="U10" s="75" t="s">
        <v>558</v>
      </c>
      <c r="V10" s="75" t="s">
        <v>556</v>
      </c>
      <c r="W10" s="75" t="s">
        <v>108</v>
      </c>
      <c r="X10" s="78">
        <v>9</v>
      </c>
      <c r="Y10" s="75" t="s">
        <v>707</v>
      </c>
      <c r="Z10" s="78">
        <v>0.08</v>
      </c>
      <c r="AA10">
        <v>7.0000000000000007E-2</v>
      </c>
      <c r="AB10" s="75"/>
      <c r="AC10" s="29"/>
      <c r="AD10" s="75"/>
      <c r="AE10" s="77">
        <v>4052111</v>
      </c>
      <c r="AF10" s="77" t="s">
        <v>773</v>
      </c>
      <c r="AG10" s="75" t="s">
        <v>782</v>
      </c>
      <c r="AH10" s="75"/>
      <c r="AI10" s="75"/>
      <c r="AJ10" s="75">
        <v>15</v>
      </c>
      <c r="AK10" s="75"/>
      <c r="AL10" s="75"/>
      <c r="AM10" s="75"/>
      <c r="AN10" s="75"/>
      <c r="AO10" s="75">
        <v>9</v>
      </c>
      <c r="AP10" s="75" t="s">
        <v>421</v>
      </c>
      <c r="AQ10" s="77"/>
      <c r="AR10" t="s">
        <v>722</v>
      </c>
      <c r="AS10" s="75" t="s">
        <v>111</v>
      </c>
      <c r="AT10" s="75"/>
    </row>
    <row r="11" spans="1:47" x14ac:dyDescent="0.25">
      <c r="A11" s="189" t="s">
        <v>478</v>
      </c>
      <c r="B11" s="190" t="s">
        <v>480</v>
      </c>
      <c r="C11" s="190" t="s">
        <v>1214</v>
      </c>
      <c r="D11" s="190">
        <v>56</v>
      </c>
      <c r="E11" s="190"/>
      <c r="F11" s="190" t="s">
        <v>121</v>
      </c>
      <c r="G11" s="190" t="s">
        <v>469</v>
      </c>
      <c r="H11" s="190" t="s">
        <v>556</v>
      </c>
      <c r="I11" s="190" t="s">
        <v>108</v>
      </c>
      <c r="J11" s="190">
        <v>6</v>
      </c>
      <c r="K11" s="190" t="s">
        <v>707</v>
      </c>
      <c r="L11" s="190"/>
      <c r="M11" s="428"/>
      <c r="O11" s="57">
        <v>40621</v>
      </c>
      <c r="P11" s="75" t="s">
        <v>591</v>
      </c>
      <c r="Q11" s="75" t="s">
        <v>146</v>
      </c>
      <c r="R11" s="75">
        <v>66</v>
      </c>
      <c r="S11" s="75"/>
      <c r="T11" s="75" t="s">
        <v>609</v>
      </c>
      <c r="U11" s="75" t="s">
        <v>558</v>
      </c>
      <c r="V11" s="75" t="s">
        <v>559</v>
      </c>
      <c r="W11" s="75" t="s">
        <v>108</v>
      </c>
      <c r="X11" s="78">
        <v>10</v>
      </c>
      <c r="Y11" s="75" t="s">
        <v>707</v>
      </c>
      <c r="Z11" s="78">
        <v>0.08</v>
      </c>
      <c r="AA11">
        <v>7.0000000000000007E-2</v>
      </c>
      <c r="AB11" s="75"/>
      <c r="AC11" s="29"/>
      <c r="AD11" s="75"/>
      <c r="AE11" s="77">
        <v>4052121</v>
      </c>
      <c r="AF11" s="77" t="s">
        <v>773</v>
      </c>
      <c r="AG11" s="75" t="s">
        <v>781</v>
      </c>
      <c r="AH11" s="75"/>
      <c r="AI11" s="75"/>
      <c r="AJ11" s="75">
        <v>10</v>
      </c>
      <c r="AK11" s="75"/>
      <c r="AL11" s="75"/>
      <c r="AM11" s="75"/>
      <c r="AN11" s="75"/>
      <c r="AO11" s="75">
        <v>10</v>
      </c>
      <c r="AP11" s="75" t="s">
        <v>111</v>
      </c>
      <c r="AQ11" s="77"/>
      <c r="AR11" t="s">
        <v>722</v>
      </c>
      <c r="AS11" s="75" t="s">
        <v>111</v>
      </c>
      <c r="AT11" s="75"/>
    </row>
    <row r="12" spans="1:47" x14ac:dyDescent="0.25">
      <c r="A12" s="189" t="s">
        <v>478</v>
      </c>
      <c r="B12" s="190" t="s">
        <v>1187</v>
      </c>
      <c r="C12" s="190" t="s">
        <v>1215</v>
      </c>
      <c r="D12" s="190">
        <v>62</v>
      </c>
      <c r="E12" s="190"/>
      <c r="F12" s="190" t="s">
        <v>121</v>
      </c>
      <c r="G12" s="190" t="s">
        <v>469</v>
      </c>
      <c r="H12" s="190" t="s">
        <v>559</v>
      </c>
      <c r="I12" s="190" t="s">
        <v>108</v>
      </c>
      <c r="J12" s="190">
        <v>7</v>
      </c>
      <c r="K12" s="190" t="s">
        <v>707</v>
      </c>
      <c r="L12" s="190"/>
      <c r="M12" s="428"/>
      <c r="O12" s="57">
        <v>40621</v>
      </c>
      <c r="P12" s="75" t="s">
        <v>592</v>
      </c>
      <c r="Q12" s="75" t="s">
        <v>148</v>
      </c>
      <c r="R12" s="75">
        <v>90</v>
      </c>
      <c r="S12" s="75"/>
      <c r="T12" s="75" t="s">
        <v>609</v>
      </c>
      <c r="U12" s="75" t="s">
        <v>558</v>
      </c>
      <c r="V12" s="75" t="s">
        <v>560</v>
      </c>
      <c r="W12" s="75" t="s">
        <v>108</v>
      </c>
      <c r="X12" s="78">
        <v>11</v>
      </c>
      <c r="Y12" s="75" t="s">
        <v>707</v>
      </c>
      <c r="Z12" s="78">
        <v>0.08</v>
      </c>
      <c r="AA12">
        <v>7.0000000000000007E-2</v>
      </c>
      <c r="AB12" s="75"/>
      <c r="AC12" s="29"/>
      <c r="AD12" s="75"/>
      <c r="AE12" s="77">
        <v>4052001</v>
      </c>
      <c r="AF12" s="77" t="s">
        <v>773</v>
      </c>
      <c r="AG12" s="75" t="s">
        <v>776</v>
      </c>
      <c r="AH12" s="75"/>
      <c r="AI12" s="75"/>
      <c r="AJ12" s="75">
        <v>15</v>
      </c>
      <c r="AK12" s="75"/>
      <c r="AL12" s="75"/>
      <c r="AM12" s="75"/>
      <c r="AN12" s="75"/>
      <c r="AO12" s="75">
        <v>11</v>
      </c>
      <c r="AP12" s="75" t="s">
        <v>111</v>
      </c>
      <c r="AQ12" s="77"/>
      <c r="AR12" t="s">
        <v>722</v>
      </c>
      <c r="AS12" s="75" t="s">
        <v>111</v>
      </c>
      <c r="AT12" s="75"/>
    </row>
    <row r="13" spans="1:47" x14ac:dyDescent="0.25">
      <c r="A13" s="189" t="s">
        <v>478</v>
      </c>
      <c r="B13" s="190" t="s">
        <v>1188</v>
      </c>
      <c r="C13" s="190" t="s">
        <v>1216</v>
      </c>
      <c r="D13" s="190">
        <v>112</v>
      </c>
      <c r="E13" s="190"/>
      <c r="F13" s="190" t="s">
        <v>121</v>
      </c>
      <c r="G13" s="190" t="s">
        <v>469</v>
      </c>
      <c r="H13" s="190" t="s">
        <v>560</v>
      </c>
      <c r="I13" s="190" t="s">
        <v>108</v>
      </c>
      <c r="J13" s="190">
        <v>8</v>
      </c>
      <c r="K13" s="190" t="s">
        <v>707</v>
      </c>
      <c r="L13" s="190"/>
      <c r="M13" s="428"/>
      <c r="O13" s="57">
        <v>40621</v>
      </c>
      <c r="P13" t="s">
        <v>1009</v>
      </c>
      <c r="R13">
        <v>134</v>
      </c>
      <c r="T13" s="75" t="s">
        <v>609</v>
      </c>
      <c r="U13" t="s">
        <v>558</v>
      </c>
      <c r="V13" t="s">
        <v>566</v>
      </c>
      <c r="W13" s="75" t="s">
        <v>108</v>
      </c>
      <c r="X13" s="78">
        <v>12</v>
      </c>
      <c r="Y13" s="75" t="s">
        <v>707</v>
      </c>
      <c r="Z13" s="78">
        <v>0.08</v>
      </c>
      <c r="AA13">
        <v>7.0000000000000007E-2</v>
      </c>
      <c r="AB13" s="75"/>
      <c r="AC13" s="29"/>
      <c r="AD13" s="75"/>
      <c r="AE13" s="77">
        <v>4050601</v>
      </c>
      <c r="AF13" s="77" t="s">
        <v>773</v>
      </c>
      <c r="AG13" s="75" t="s">
        <v>784</v>
      </c>
      <c r="AH13" s="75"/>
      <c r="AI13" s="75"/>
      <c r="AJ13" s="75">
        <v>15</v>
      </c>
      <c r="AK13" s="75"/>
      <c r="AL13" s="75"/>
      <c r="AM13" s="75"/>
      <c r="AN13" s="75"/>
      <c r="AO13" s="75">
        <v>12</v>
      </c>
      <c r="AP13" s="75" t="s">
        <v>421</v>
      </c>
      <c r="AQ13" s="77"/>
      <c r="AR13" t="s">
        <v>722</v>
      </c>
      <c r="AS13" s="75" t="s">
        <v>111</v>
      </c>
      <c r="AT13" s="75"/>
    </row>
    <row r="14" spans="1:47" x14ac:dyDescent="0.25">
      <c r="A14" s="189" t="s">
        <v>478</v>
      </c>
      <c r="B14" s="190" t="s">
        <v>481</v>
      </c>
      <c r="C14" s="190" t="s">
        <v>1217</v>
      </c>
      <c r="D14" s="190">
        <v>37</v>
      </c>
      <c r="E14" s="190"/>
      <c r="F14" s="190" t="s">
        <v>121</v>
      </c>
      <c r="G14" s="190" t="s">
        <v>557</v>
      </c>
      <c r="H14" s="190" t="s">
        <v>472</v>
      </c>
      <c r="I14" s="190" t="s">
        <v>108</v>
      </c>
      <c r="J14" s="190">
        <v>9</v>
      </c>
      <c r="K14" s="190" t="s">
        <v>707</v>
      </c>
      <c r="L14" s="190"/>
      <c r="M14" s="428"/>
      <c r="O14" s="57">
        <v>40621</v>
      </c>
      <c r="P14" s="75" t="s">
        <v>593</v>
      </c>
      <c r="Q14" s="75"/>
      <c r="R14" s="75">
        <v>24</v>
      </c>
      <c r="S14" s="75"/>
      <c r="T14" s="75" t="s">
        <v>609</v>
      </c>
      <c r="U14" s="75" t="s">
        <v>564</v>
      </c>
      <c r="V14" s="75" t="s">
        <v>472</v>
      </c>
      <c r="W14" s="75" t="s">
        <v>108</v>
      </c>
      <c r="X14" s="78">
        <v>13</v>
      </c>
      <c r="Y14" s="75" t="s">
        <v>718</v>
      </c>
      <c r="Z14" s="78">
        <v>0.08</v>
      </c>
      <c r="AA14">
        <v>7.0000000000000007E-2</v>
      </c>
      <c r="AB14" s="75"/>
      <c r="AC14" s="29"/>
      <c r="AD14" s="75"/>
      <c r="AE14" s="77">
        <v>4050901</v>
      </c>
      <c r="AF14" s="77" t="s">
        <v>773</v>
      </c>
      <c r="AG14" s="75" t="s">
        <v>777</v>
      </c>
      <c r="AH14" s="75"/>
      <c r="AI14" s="75"/>
      <c r="AJ14" s="75">
        <v>15</v>
      </c>
      <c r="AK14" s="75"/>
      <c r="AL14" s="75"/>
      <c r="AM14" s="75"/>
      <c r="AN14" s="75"/>
      <c r="AO14" s="75">
        <v>13</v>
      </c>
      <c r="AP14" s="75" t="s">
        <v>111</v>
      </c>
      <c r="AQ14" s="77"/>
      <c r="AR14" t="s">
        <v>722</v>
      </c>
      <c r="AS14" s="75" t="s">
        <v>111</v>
      </c>
      <c r="AT14" s="75"/>
    </row>
    <row r="15" spans="1:47" x14ac:dyDescent="0.25">
      <c r="A15" s="189" t="s">
        <v>478</v>
      </c>
      <c r="B15" s="190" t="s">
        <v>482</v>
      </c>
      <c r="C15" s="190" t="s">
        <v>1218</v>
      </c>
      <c r="D15" s="190">
        <v>74</v>
      </c>
      <c r="E15" s="190"/>
      <c r="F15" s="190" t="s">
        <v>121</v>
      </c>
      <c r="G15" s="190" t="s">
        <v>557</v>
      </c>
      <c r="H15" s="190" t="s">
        <v>556</v>
      </c>
      <c r="I15" s="190" t="s">
        <v>108</v>
      </c>
      <c r="J15" s="190">
        <v>10</v>
      </c>
      <c r="K15" s="190" t="s">
        <v>707</v>
      </c>
      <c r="L15" s="190"/>
      <c r="M15" s="428"/>
      <c r="O15" s="57">
        <v>40621</v>
      </c>
      <c r="P15" s="75" t="s">
        <v>594</v>
      </c>
      <c r="Q15" s="75"/>
      <c r="R15" s="75">
        <v>44</v>
      </c>
      <c r="S15" s="75"/>
      <c r="T15" s="75" t="s">
        <v>609</v>
      </c>
      <c r="U15" s="75" t="s">
        <v>564</v>
      </c>
      <c r="V15" s="75" t="s">
        <v>556</v>
      </c>
      <c r="W15" s="75" t="s">
        <v>108</v>
      </c>
      <c r="X15" s="78">
        <v>14</v>
      </c>
      <c r="Y15" s="75" t="s">
        <v>718</v>
      </c>
      <c r="Z15" s="78">
        <v>0.08</v>
      </c>
      <c r="AA15">
        <v>7.0000000000000007E-2</v>
      </c>
      <c r="AB15" s="75"/>
      <c r="AC15" s="29"/>
      <c r="AD15" s="75"/>
      <c r="AE15" s="77">
        <v>4052301</v>
      </c>
      <c r="AF15" s="77" t="s">
        <v>773</v>
      </c>
      <c r="AG15" s="75" t="s">
        <v>778</v>
      </c>
      <c r="AH15" s="75"/>
      <c r="AI15" s="75"/>
      <c r="AJ15" s="75">
        <v>15</v>
      </c>
      <c r="AK15" s="75"/>
      <c r="AL15" s="75"/>
      <c r="AM15" s="75"/>
      <c r="AN15" s="75"/>
      <c r="AO15" s="75">
        <v>14</v>
      </c>
      <c r="AP15" s="75" t="s">
        <v>111</v>
      </c>
      <c r="AQ15" s="77"/>
      <c r="AR15" t="s">
        <v>722</v>
      </c>
      <c r="AS15" s="75" t="s">
        <v>111</v>
      </c>
      <c r="AT15" s="75"/>
    </row>
    <row r="16" spans="1:47" x14ac:dyDescent="0.25">
      <c r="A16" s="189" t="s">
        <v>478</v>
      </c>
      <c r="B16" s="190" t="s">
        <v>1189</v>
      </c>
      <c r="C16" s="190" t="s">
        <v>1219</v>
      </c>
      <c r="D16" s="190">
        <v>111</v>
      </c>
      <c r="E16" s="190"/>
      <c r="F16" s="190" t="s">
        <v>121</v>
      </c>
      <c r="G16" s="190" t="s">
        <v>557</v>
      </c>
      <c r="H16" s="190" t="s">
        <v>559</v>
      </c>
      <c r="I16" s="190" t="s">
        <v>108</v>
      </c>
      <c r="J16" s="190">
        <v>11</v>
      </c>
      <c r="K16" s="190" t="s">
        <v>707</v>
      </c>
      <c r="L16" s="190"/>
      <c r="M16" s="428"/>
      <c r="O16" s="77">
        <v>40620</v>
      </c>
      <c r="P16" s="75" t="s">
        <v>595</v>
      </c>
      <c r="Q16" s="75" t="s">
        <v>143</v>
      </c>
      <c r="R16" s="75">
        <v>26</v>
      </c>
      <c r="S16" s="75"/>
      <c r="T16" s="75" t="s">
        <v>610</v>
      </c>
      <c r="U16" s="75" t="s">
        <v>558</v>
      </c>
      <c r="V16" s="75" t="s">
        <v>472</v>
      </c>
      <c r="W16" s="75" t="s">
        <v>108</v>
      </c>
      <c r="X16" s="78">
        <v>15</v>
      </c>
      <c r="Y16" s="75" t="s">
        <v>707</v>
      </c>
      <c r="Z16" s="78">
        <v>0.08</v>
      </c>
      <c r="AA16">
        <v>7.0000000000000007E-2</v>
      </c>
      <c r="AB16" s="75"/>
      <c r="AC16" s="29"/>
      <c r="AD16" s="75"/>
      <c r="AE16" s="77">
        <v>4050801</v>
      </c>
      <c r="AF16" s="77" t="s">
        <v>773</v>
      </c>
      <c r="AG16" t="s">
        <v>813</v>
      </c>
      <c r="AH16" s="75"/>
      <c r="AI16" s="75"/>
      <c r="AJ16" s="75">
        <v>15</v>
      </c>
      <c r="AK16" s="75"/>
      <c r="AL16" s="75"/>
      <c r="AM16" s="75"/>
      <c r="AN16" s="75"/>
      <c r="AO16" s="75">
        <v>15</v>
      </c>
      <c r="AP16" s="75" t="s">
        <v>111</v>
      </c>
      <c r="AQ16" s="77"/>
      <c r="AR16" t="s">
        <v>722</v>
      </c>
      <c r="AS16" s="75" t="s">
        <v>111</v>
      </c>
      <c r="AT16" s="75"/>
    </row>
    <row r="17" spans="1:46" x14ac:dyDescent="0.25">
      <c r="A17" s="189" t="s">
        <v>478</v>
      </c>
      <c r="B17" s="190" t="s">
        <v>1190</v>
      </c>
      <c r="C17" s="190" t="s">
        <v>1220</v>
      </c>
      <c r="D17" s="190">
        <v>148</v>
      </c>
      <c r="E17" s="190"/>
      <c r="F17" s="190" t="s">
        <v>121</v>
      </c>
      <c r="G17" s="190" t="s">
        <v>557</v>
      </c>
      <c r="H17" s="190" t="s">
        <v>560</v>
      </c>
      <c r="I17" s="190" t="s">
        <v>108</v>
      </c>
      <c r="J17" s="190">
        <v>12</v>
      </c>
      <c r="K17" s="190" t="s">
        <v>707</v>
      </c>
      <c r="L17" s="190"/>
      <c r="M17" s="428"/>
      <c r="O17" s="77">
        <v>40620</v>
      </c>
      <c r="P17" s="75" t="s">
        <v>596</v>
      </c>
      <c r="Q17" s="75" t="s">
        <v>145</v>
      </c>
      <c r="R17" s="75">
        <v>50</v>
      </c>
      <c r="S17" s="75"/>
      <c r="T17" s="75" t="s">
        <v>610</v>
      </c>
      <c r="U17" s="75" t="s">
        <v>558</v>
      </c>
      <c r="V17" s="75" t="s">
        <v>556</v>
      </c>
      <c r="W17" s="75" t="s">
        <v>108</v>
      </c>
      <c r="X17" s="78">
        <v>16</v>
      </c>
      <c r="Y17" s="75" t="s">
        <v>707</v>
      </c>
      <c r="Z17" s="78">
        <v>0.08</v>
      </c>
      <c r="AA17">
        <v>7.0000000000000007E-2</v>
      </c>
      <c r="AB17" s="75"/>
      <c r="AC17" s="29"/>
      <c r="AD17" s="75"/>
      <c r="AE17" s="77">
        <v>4010101</v>
      </c>
      <c r="AF17" s="77" t="s">
        <v>773</v>
      </c>
      <c r="AG17" s="75" t="s">
        <v>786</v>
      </c>
      <c r="AH17" s="75"/>
      <c r="AI17" s="75"/>
      <c r="AJ17" s="75">
        <v>20</v>
      </c>
      <c r="AK17" s="75"/>
      <c r="AL17" s="75"/>
      <c r="AM17" s="75"/>
      <c r="AN17" s="75"/>
      <c r="AO17" s="75">
        <v>16</v>
      </c>
      <c r="AP17" s="75" t="s">
        <v>419</v>
      </c>
      <c r="AQ17" s="77"/>
      <c r="AR17" t="s">
        <v>722</v>
      </c>
      <c r="AS17" s="75" t="s">
        <v>111</v>
      </c>
      <c r="AT17" s="75"/>
    </row>
    <row r="18" spans="1:46" x14ac:dyDescent="0.25">
      <c r="A18" s="189" t="s">
        <v>478</v>
      </c>
      <c r="B18" s="190" t="s">
        <v>483</v>
      </c>
      <c r="C18" s="190" t="s">
        <v>1221</v>
      </c>
      <c r="D18" s="190">
        <v>48</v>
      </c>
      <c r="E18" s="190"/>
      <c r="F18" s="190" t="s">
        <v>121</v>
      </c>
      <c r="G18" s="190" t="s">
        <v>558</v>
      </c>
      <c r="H18" s="190" t="s">
        <v>472</v>
      </c>
      <c r="I18" s="190" t="s">
        <v>108</v>
      </c>
      <c r="J18" s="190">
        <v>13</v>
      </c>
      <c r="K18" s="190" t="s">
        <v>707</v>
      </c>
      <c r="L18" s="190"/>
      <c r="M18" s="428"/>
      <c r="O18" s="77">
        <v>40620</v>
      </c>
      <c r="P18" s="75" t="s">
        <v>597</v>
      </c>
      <c r="Q18" s="75" t="s">
        <v>147</v>
      </c>
      <c r="R18" s="75">
        <v>74</v>
      </c>
      <c r="S18" s="75"/>
      <c r="T18" s="75" t="s">
        <v>610</v>
      </c>
      <c r="U18" s="75" t="s">
        <v>558</v>
      </c>
      <c r="V18" s="75" t="s">
        <v>559</v>
      </c>
      <c r="W18" s="75" t="s">
        <v>108</v>
      </c>
      <c r="X18" s="78">
        <v>17</v>
      </c>
      <c r="Y18" s="75" t="s">
        <v>707</v>
      </c>
      <c r="Z18" s="78">
        <v>0.08</v>
      </c>
      <c r="AA18">
        <v>7.0000000000000007E-2</v>
      </c>
      <c r="AB18" s="75"/>
      <c r="AC18" s="29"/>
      <c r="AD18" s="75"/>
      <c r="AE18" s="77">
        <v>4010201</v>
      </c>
      <c r="AF18" s="77" t="s">
        <v>773</v>
      </c>
      <c r="AG18" s="75" t="s">
        <v>787</v>
      </c>
      <c r="AH18" s="75"/>
      <c r="AI18" s="75"/>
      <c r="AJ18" s="75">
        <v>10</v>
      </c>
      <c r="AK18" s="75"/>
      <c r="AL18" s="75"/>
      <c r="AM18" s="75"/>
      <c r="AN18" s="75"/>
      <c r="AO18" s="75">
        <v>17</v>
      </c>
      <c r="AP18" s="75" t="s">
        <v>419</v>
      </c>
      <c r="AQ18" s="77"/>
      <c r="AR18" t="s">
        <v>722</v>
      </c>
      <c r="AS18" s="75" t="s">
        <v>111</v>
      </c>
      <c r="AT18" s="75"/>
    </row>
    <row r="19" spans="1:46" x14ac:dyDescent="0.25">
      <c r="A19" s="189" t="s">
        <v>478</v>
      </c>
      <c r="B19" s="190" t="s">
        <v>484</v>
      </c>
      <c r="C19" s="190" t="s">
        <v>1222</v>
      </c>
      <c r="D19" s="190">
        <v>82</v>
      </c>
      <c r="E19" s="190"/>
      <c r="F19" s="190" t="s">
        <v>121</v>
      </c>
      <c r="G19" s="190" t="s">
        <v>558</v>
      </c>
      <c r="H19" s="190" t="s">
        <v>556</v>
      </c>
      <c r="I19" s="190" t="s">
        <v>108</v>
      </c>
      <c r="J19" s="190">
        <v>14</v>
      </c>
      <c r="K19" s="190" t="s">
        <v>707</v>
      </c>
      <c r="L19" s="190"/>
      <c r="M19" s="428"/>
      <c r="O19" s="77">
        <v>40620</v>
      </c>
      <c r="P19" s="75" t="s">
        <v>598</v>
      </c>
      <c r="Q19" s="75" t="s">
        <v>149</v>
      </c>
      <c r="R19" s="75">
        <v>99</v>
      </c>
      <c r="S19" s="75"/>
      <c r="T19" s="75" t="s">
        <v>610</v>
      </c>
      <c r="U19" s="75" t="s">
        <v>558</v>
      </c>
      <c r="V19" s="75" t="s">
        <v>560</v>
      </c>
      <c r="W19" s="75" t="s">
        <v>108</v>
      </c>
      <c r="X19" s="78">
        <v>18</v>
      </c>
      <c r="Y19" s="75" t="s">
        <v>707</v>
      </c>
      <c r="Z19" s="78">
        <v>0.08</v>
      </c>
      <c r="AA19">
        <v>7.0000000000000007E-2</v>
      </c>
      <c r="AB19" s="75"/>
      <c r="AC19" s="29"/>
      <c r="AD19" s="75"/>
      <c r="AE19" s="77">
        <v>4010301</v>
      </c>
      <c r="AF19" s="77" t="s">
        <v>773</v>
      </c>
      <c r="AG19" s="75" t="s">
        <v>788</v>
      </c>
      <c r="AH19" s="75"/>
      <c r="AI19" s="75"/>
      <c r="AJ19" s="75">
        <v>15</v>
      </c>
      <c r="AK19" s="75"/>
      <c r="AL19" s="75"/>
      <c r="AM19" s="75"/>
      <c r="AN19" s="75"/>
      <c r="AO19" s="75">
        <v>18</v>
      </c>
      <c r="AP19" s="75" t="s">
        <v>419</v>
      </c>
      <c r="AQ19" s="77"/>
      <c r="AR19" t="s">
        <v>722</v>
      </c>
      <c r="AS19" s="75" t="s">
        <v>111</v>
      </c>
      <c r="AT19" s="75"/>
    </row>
    <row r="20" spans="1:46" x14ac:dyDescent="0.25">
      <c r="A20" s="189" t="s">
        <v>478</v>
      </c>
      <c r="B20" s="190" t="s">
        <v>485</v>
      </c>
      <c r="C20" s="190" t="s">
        <v>1223</v>
      </c>
      <c r="D20" s="190">
        <v>122</v>
      </c>
      <c r="E20" s="190"/>
      <c r="F20" s="190" t="s">
        <v>121</v>
      </c>
      <c r="G20" s="190" t="s">
        <v>558</v>
      </c>
      <c r="H20" s="190" t="s">
        <v>559</v>
      </c>
      <c r="I20" s="190" t="s">
        <v>108</v>
      </c>
      <c r="J20" s="190">
        <v>15</v>
      </c>
      <c r="K20" s="190" t="s">
        <v>707</v>
      </c>
      <c r="L20" s="190"/>
      <c r="M20" s="428"/>
      <c r="O20" s="77">
        <v>40620</v>
      </c>
      <c r="P20" t="s">
        <v>1010</v>
      </c>
      <c r="R20">
        <v>151</v>
      </c>
      <c r="T20" s="75" t="s">
        <v>610</v>
      </c>
      <c r="U20" t="s">
        <v>558</v>
      </c>
      <c r="V20" t="s">
        <v>566</v>
      </c>
      <c r="W20" s="75" t="s">
        <v>108</v>
      </c>
      <c r="X20" s="78">
        <v>19</v>
      </c>
      <c r="Y20" t="s">
        <v>1012</v>
      </c>
      <c r="Z20" s="78">
        <v>0.08</v>
      </c>
      <c r="AA20">
        <v>7.0000000000000007E-2</v>
      </c>
      <c r="AB20" s="75"/>
      <c r="AC20" s="29"/>
      <c r="AD20" s="75"/>
      <c r="AE20" s="57">
        <v>4051701</v>
      </c>
      <c r="AF20" s="57" t="s">
        <v>773</v>
      </c>
      <c r="AG20" t="s">
        <v>1165</v>
      </c>
      <c r="AJ20">
        <v>15</v>
      </c>
      <c r="AO20">
        <v>19</v>
      </c>
      <c r="AP20" t="s">
        <v>111</v>
      </c>
      <c r="AQ20" s="57"/>
      <c r="AR20" t="s">
        <v>722</v>
      </c>
      <c r="AS20" t="s">
        <v>111</v>
      </c>
      <c r="AT20" s="75"/>
    </row>
    <row r="21" spans="1:46" x14ac:dyDescent="0.25">
      <c r="A21" s="189" t="s">
        <v>478</v>
      </c>
      <c r="B21" s="190" t="s">
        <v>486</v>
      </c>
      <c r="C21" s="190" t="s">
        <v>659</v>
      </c>
      <c r="D21" s="190">
        <v>164</v>
      </c>
      <c r="E21" s="190"/>
      <c r="F21" s="190" t="s">
        <v>121</v>
      </c>
      <c r="G21" s="190" t="s">
        <v>558</v>
      </c>
      <c r="H21" s="190" t="s">
        <v>560</v>
      </c>
      <c r="I21" s="190" t="s">
        <v>108</v>
      </c>
      <c r="J21" s="190">
        <v>16</v>
      </c>
      <c r="K21" s="190" t="s">
        <v>707</v>
      </c>
      <c r="L21" s="190"/>
      <c r="M21" s="428"/>
      <c r="O21" s="77">
        <v>40620</v>
      </c>
      <c r="P21" s="75" t="s">
        <v>599</v>
      </c>
      <c r="Q21" s="75"/>
      <c r="R21" s="75">
        <v>26</v>
      </c>
      <c r="S21" s="75"/>
      <c r="T21" s="75" t="s">
        <v>610</v>
      </c>
      <c r="U21" s="75" t="s">
        <v>564</v>
      </c>
      <c r="V21" s="75" t="s">
        <v>472</v>
      </c>
      <c r="W21" s="75" t="s">
        <v>108</v>
      </c>
      <c r="X21" s="78">
        <v>20</v>
      </c>
      <c r="Y21" s="75" t="s">
        <v>718</v>
      </c>
      <c r="Z21" s="78">
        <v>0.08</v>
      </c>
      <c r="AA21">
        <v>7.0000000000000007E-2</v>
      </c>
      <c r="AB21" s="75"/>
      <c r="AC21" s="29"/>
      <c r="AD21" s="75"/>
      <c r="AE21" s="77">
        <v>4040101</v>
      </c>
      <c r="AF21" s="77" t="s">
        <v>773</v>
      </c>
      <c r="AG21" t="s">
        <v>797</v>
      </c>
      <c r="AH21" s="75"/>
      <c r="AI21" s="75"/>
      <c r="AJ21" s="75"/>
      <c r="AK21" s="75"/>
      <c r="AL21" s="75"/>
      <c r="AM21" s="75"/>
      <c r="AN21" s="75"/>
      <c r="AO21" s="75">
        <v>20</v>
      </c>
      <c r="AP21" s="75" t="s">
        <v>421</v>
      </c>
      <c r="AQ21" s="77"/>
      <c r="AR21" t="s">
        <v>722</v>
      </c>
      <c r="AS21" s="75" t="s">
        <v>111</v>
      </c>
      <c r="AT21" s="75"/>
    </row>
    <row r="22" spans="1:46" x14ac:dyDescent="0.25">
      <c r="A22" s="189" t="s">
        <v>478</v>
      </c>
      <c r="B22" s="190" t="s">
        <v>1288</v>
      </c>
      <c r="C22" s="190" t="s">
        <v>1224</v>
      </c>
      <c r="D22" s="190">
        <v>258</v>
      </c>
      <c r="E22" s="190"/>
      <c r="F22" s="190" t="s">
        <v>121</v>
      </c>
      <c r="G22" s="190" t="s">
        <v>558</v>
      </c>
      <c r="H22" s="190" t="s">
        <v>1128</v>
      </c>
      <c r="I22" s="190" t="s">
        <v>108</v>
      </c>
      <c r="J22" s="190">
        <v>17</v>
      </c>
      <c r="K22" s="190" t="s">
        <v>707</v>
      </c>
      <c r="L22" s="190"/>
      <c r="M22" s="428"/>
      <c r="O22" s="77">
        <v>40620</v>
      </c>
      <c r="P22" s="75" t="s">
        <v>600</v>
      </c>
      <c r="Q22" s="75"/>
      <c r="R22" s="75">
        <v>50</v>
      </c>
      <c r="S22" s="75"/>
      <c r="T22" s="75" t="s">
        <v>610</v>
      </c>
      <c r="U22" s="75" t="s">
        <v>564</v>
      </c>
      <c r="V22" s="75" t="s">
        <v>556</v>
      </c>
      <c r="W22" s="75" t="s">
        <v>108</v>
      </c>
      <c r="X22" s="78">
        <v>21</v>
      </c>
      <c r="Y22" s="75" t="s">
        <v>718</v>
      </c>
      <c r="Z22" s="78">
        <v>0.08</v>
      </c>
      <c r="AA22">
        <v>7.0000000000000007E-2</v>
      </c>
      <c r="AB22" s="75"/>
      <c r="AC22" s="29"/>
      <c r="AD22" s="75"/>
      <c r="AE22" s="77">
        <v>4050700</v>
      </c>
      <c r="AF22" s="29" t="s">
        <v>789</v>
      </c>
      <c r="AG22" s="75" t="s">
        <v>618</v>
      </c>
      <c r="AH22" s="75"/>
      <c r="AI22" s="75"/>
      <c r="AJ22" s="75">
        <v>15</v>
      </c>
      <c r="AK22" s="75"/>
      <c r="AL22" s="75"/>
      <c r="AM22" s="75"/>
      <c r="AN22" s="75"/>
      <c r="AO22">
        <v>21</v>
      </c>
      <c r="AP22" s="75" t="s">
        <v>111</v>
      </c>
      <c r="AQ22" s="77"/>
      <c r="AR22" t="s">
        <v>86</v>
      </c>
      <c r="AS22" s="75" t="s">
        <v>111</v>
      </c>
      <c r="AT22" s="75"/>
    </row>
    <row r="23" spans="1:46" x14ac:dyDescent="0.25">
      <c r="A23" s="57" t="s">
        <v>478</v>
      </c>
      <c r="B23" t="s">
        <v>1272</v>
      </c>
      <c r="C23" t="s">
        <v>1274</v>
      </c>
      <c r="D23">
        <v>72</v>
      </c>
      <c r="F23" t="s">
        <v>121</v>
      </c>
      <c r="G23" t="s">
        <v>1258</v>
      </c>
      <c r="H23" t="s">
        <v>472</v>
      </c>
      <c r="I23" t="s">
        <v>108</v>
      </c>
      <c r="J23" s="190">
        <v>18</v>
      </c>
      <c r="K23" t="s">
        <v>1207</v>
      </c>
      <c r="M23" s="428"/>
      <c r="O23" s="57">
        <v>40619</v>
      </c>
      <c r="P23" s="75" t="s">
        <v>601</v>
      </c>
      <c r="Q23" s="75" t="s">
        <v>135</v>
      </c>
      <c r="R23" s="75">
        <v>32</v>
      </c>
      <c r="S23" s="75"/>
      <c r="T23" s="75" t="s">
        <v>611</v>
      </c>
      <c r="U23" s="75" t="s">
        <v>558</v>
      </c>
      <c r="V23" s="75" t="s">
        <v>472</v>
      </c>
      <c r="W23" s="75" t="s">
        <v>108</v>
      </c>
      <c r="X23" s="78">
        <v>22</v>
      </c>
      <c r="Y23" s="75" t="s">
        <v>707</v>
      </c>
      <c r="Z23" s="78">
        <v>0.08</v>
      </c>
      <c r="AA23">
        <v>7.0000000000000007E-2</v>
      </c>
      <c r="AB23" s="75"/>
      <c r="AC23" s="29"/>
      <c r="AD23" s="75"/>
      <c r="AE23" s="77">
        <v>4051000</v>
      </c>
      <c r="AF23" s="29" t="s">
        <v>789</v>
      </c>
      <c r="AG23" s="75" t="s">
        <v>655</v>
      </c>
      <c r="AH23" s="75"/>
      <c r="AI23" s="75"/>
      <c r="AJ23" s="75">
        <v>15</v>
      </c>
      <c r="AK23" s="75"/>
      <c r="AL23" s="75"/>
      <c r="AM23" s="75"/>
      <c r="AN23" s="75"/>
      <c r="AO23" s="75">
        <v>22</v>
      </c>
      <c r="AP23" s="75" t="s">
        <v>111</v>
      </c>
      <c r="AQ23" s="77"/>
      <c r="AR23" t="s">
        <v>86</v>
      </c>
      <c r="AS23" s="75" t="s">
        <v>111</v>
      </c>
      <c r="AT23" s="75"/>
    </row>
    <row r="24" spans="1:46" x14ac:dyDescent="0.25">
      <c r="A24" s="57" t="s">
        <v>478</v>
      </c>
      <c r="B24" t="s">
        <v>1273</v>
      </c>
      <c r="C24" t="s">
        <v>1275</v>
      </c>
      <c r="D24">
        <v>111</v>
      </c>
      <c r="F24" t="s">
        <v>121</v>
      </c>
      <c r="G24" t="s">
        <v>1258</v>
      </c>
      <c r="H24" t="s">
        <v>556</v>
      </c>
      <c r="I24" t="s">
        <v>108</v>
      </c>
      <c r="J24" s="190">
        <v>19</v>
      </c>
      <c r="K24" t="s">
        <v>1207</v>
      </c>
      <c r="M24" s="428"/>
      <c r="O24" s="57">
        <v>40619</v>
      </c>
      <c r="P24" s="75" t="s">
        <v>602</v>
      </c>
      <c r="Q24" s="75" t="s">
        <v>136</v>
      </c>
      <c r="R24" s="75">
        <v>59</v>
      </c>
      <c r="S24" s="75"/>
      <c r="T24" s="75" t="s">
        <v>611</v>
      </c>
      <c r="U24" s="75" t="s">
        <v>558</v>
      </c>
      <c r="V24" s="75" t="s">
        <v>556</v>
      </c>
      <c r="W24" s="75" t="s">
        <v>108</v>
      </c>
      <c r="X24" s="78">
        <v>23</v>
      </c>
      <c r="Y24" s="75" t="s">
        <v>707</v>
      </c>
      <c r="Z24" s="78">
        <v>0.08</v>
      </c>
      <c r="AA24">
        <v>7.0000000000000007E-2</v>
      </c>
      <c r="AB24" s="75"/>
      <c r="AC24" s="29"/>
      <c r="AD24" s="75"/>
      <c r="AE24" s="139">
        <v>4050100</v>
      </c>
      <c r="AF24" s="29" t="s">
        <v>789</v>
      </c>
      <c r="AG24" s="140" t="s">
        <v>1034</v>
      </c>
      <c r="AH24" s="140"/>
      <c r="AI24" s="140"/>
      <c r="AJ24" s="140">
        <v>15</v>
      </c>
      <c r="AK24" s="140"/>
      <c r="AL24" s="140"/>
      <c r="AM24" s="140"/>
      <c r="AN24" s="140"/>
      <c r="AO24">
        <v>23</v>
      </c>
      <c r="AP24" s="75" t="s">
        <v>111</v>
      </c>
      <c r="AQ24" s="139"/>
      <c r="AR24" t="s">
        <v>86</v>
      </c>
      <c r="AS24" s="75" t="s">
        <v>111</v>
      </c>
      <c r="AT24" s="75"/>
    </row>
    <row r="25" spans="1:46" x14ac:dyDescent="0.25">
      <c r="A25" s="192" t="s">
        <v>478</v>
      </c>
      <c r="B25" s="193" t="s">
        <v>1251</v>
      </c>
      <c r="C25" s="190" t="s">
        <v>1253</v>
      </c>
      <c r="D25" s="193">
        <v>80</v>
      </c>
      <c r="E25" s="193"/>
      <c r="F25" s="193" t="s">
        <v>121</v>
      </c>
      <c r="G25" s="193" t="s">
        <v>1255</v>
      </c>
      <c r="H25" s="193" t="s">
        <v>472</v>
      </c>
      <c r="I25" s="193" t="s">
        <v>108</v>
      </c>
      <c r="J25" s="190">
        <v>20</v>
      </c>
      <c r="K25" s="193" t="s">
        <v>1207</v>
      </c>
      <c r="L25" s="193"/>
      <c r="M25" s="428"/>
      <c r="O25" s="57">
        <v>40619</v>
      </c>
      <c r="P25" s="75" t="s">
        <v>603</v>
      </c>
      <c r="Q25" s="75" t="s">
        <v>137</v>
      </c>
      <c r="R25" s="75">
        <v>88</v>
      </c>
      <c r="S25" s="75"/>
      <c r="T25" s="75" t="s">
        <v>611</v>
      </c>
      <c r="U25" s="75" t="s">
        <v>558</v>
      </c>
      <c r="V25" s="75" t="s">
        <v>559</v>
      </c>
      <c r="W25" s="75" t="s">
        <v>108</v>
      </c>
      <c r="X25" s="78">
        <v>24</v>
      </c>
      <c r="Y25" s="75" t="s">
        <v>707</v>
      </c>
      <c r="Z25" s="78">
        <v>0.08</v>
      </c>
      <c r="AA25">
        <v>7.0000000000000007E-2</v>
      </c>
      <c r="AB25" s="75"/>
      <c r="AC25" s="29"/>
      <c r="AD25" s="75"/>
      <c r="AE25" s="77">
        <v>4050200</v>
      </c>
      <c r="AF25" s="29" t="s">
        <v>789</v>
      </c>
      <c r="AG25" s="75" t="s">
        <v>619</v>
      </c>
      <c r="AH25" s="75"/>
      <c r="AI25" s="75"/>
      <c r="AJ25" s="75">
        <v>20</v>
      </c>
      <c r="AK25" s="75"/>
      <c r="AL25" s="75"/>
      <c r="AM25" s="75"/>
      <c r="AN25" s="75"/>
      <c r="AO25" s="75">
        <v>24</v>
      </c>
      <c r="AP25" s="75" t="s">
        <v>421</v>
      </c>
      <c r="AQ25" s="77"/>
      <c r="AR25" t="s">
        <v>86</v>
      </c>
      <c r="AS25" s="75" t="s">
        <v>111</v>
      </c>
      <c r="AT25" s="75"/>
    </row>
    <row r="26" spans="1:46" x14ac:dyDescent="0.25">
      <c r="A26" s="192" t="s">
        <v>478</v>
      </c>
      <c r="B26" s="193" t="s">
        <v>1252</v>
      </c>
      <c r="C26" s="190" t="s">
        <v>1254</v>
      </c>
      <c r="D26" s="193">
        <v>122</v>
      </c>
      <c r="E26" s="193"/>
      <c r="F26" s="193" t="s">
        <v>121</v>
      </c>
      <c r="G26" s="193" t="s">
        <v>1255</v>
      </c>
      <c r="H26" s="193" t="s">
        <v>556</v>
      </c>
      <c r="I26" s="193" t="s">
        <v>108</v>
      </c>
      <c r="J26" s="190">
        <v>21</v>
      </c>
      <c r="K26" s="193" t="s">
        <v>1207</v>
      </c>
      <c r="L26" s="193"/>
      <c r="M26" s="428"/>
      <c r="O26" s="57">
        <v>40619</v>
      </c>
      <c r="P26" s="75" t="s">
        <v>604</v>
      </c>
      <c r="Q26" s="75" t="s">
        <v>138</v>
      </c>
      <c r="R26" s="75">
        <v>114</v>
      </c>
      <c r="S26" s="75"/>
      <c r="T26" s="75" t="s">
        <v>611</v>
      </c>
      <c r="U26" s="75" t="s">
        <v>558</v>
      </c>
      <c r="V26" s="75" t="s">
        <v>560</v>
      </c>
      <c r="W26" s="75" t="s">
        <v>108</v>
      </c>
      <c r="X26" s="78">
        <v>25</v>
      </c>
      <c r="Y26" s="75" t="s">
        <v>707</v>
      </c>
      <c r="Z26" s="78">
        <v>0.08</v>
      </c>
      <c r="AA26">
        <v>7.0000000000000007E-2</v>
      </c>
      <c r="AB26" s="75"/>
      <c r="AC26" s="29"/>
      <c r="AD26" s="75"/>
      <c r="AE26" s="77">
        <v>4052200</v>
      </c>
      <c r="AF26" s="29" t="s">
        <v>789</v>
      </c>
      <c r="AG26" s="75" t="s">
        <v>620</v>
      </c>
      <c r="AH26" s="75"/>
      <c r="AI26" s="75"/>
      <c r="AJ26" s="75">
        <v>20</v>
      </c>
      <c r="AK26" s="75"/>
      <c r="AL26" s="75"/>
      <c r="AM26" s="75"/>
      <c r="AN26" s="75"/>
      <c r="AO26">
        <v>25</v>
      </c>
      <c r="AP26" s="75" t="s">
        <v>421</v>
      </c>
      <c r="AQ26" s="77"/>
      <c r="AR26" t="s">
        <v>86</v>
      </c>
      <c r="AS26" s="75" t="s">
        <v>111</v>
      </c>
      <c r="AT26" s="75"/>
    </row>
    <row r="27" spans="1:46" x14ac:dyDescent="0.25">
      <c r="A27" s="189" t="s">
        <v>478</v>
      </c>
      <c r="B27" s="190" t="s">
        <v>487</v>
      </c>
      <c r="C27" s="190" t="s">
        <v>660</v>
      </c>
      <c r="D27" s="190">
        <v>83</v>
      </c>
      <c r="E27" s="190"/>
      <c r="F27" s="190" t="s">
        <v>121</v>
      </c>
      <c r="G27" s="190" t="s">
        <v>561</v>
      </c>
      <c r="H27" s="190" t="s">
        <v>472</v>
      </c>
      <c r="I27" s="190" t="s">
        <v>108</v>
      </c>
      <c r="J27" s="190">
        <v>22</v>
      </c>
      <c r="K27" s="190" t="s">
        <v>706</v>
      </c>
      <c r="L27" s="190"/>
      <c r="M27" s="428"/>
      <c r="O27" s="57">
        <v>40619</v>
      </c>
      <c r="P27" t="s">
        <v>1011</v>
      </c>
      <c r="R27">
        <v>175</v>
      </c>
      <c r="T27" s="75" t="s">
        <v>611</v>
      </c>
      <c r="U27" t="s">
        <v>558</v>
      </c>
      <c r="V27" t="s">
        <v>566</v>
      </c>
      <c r="W27" s="75" t="s">
        <v>108</v>
      </c>
      <c r="X27" s="78">
        <v>26</v>
      </c>
      <c r="Y27" s="75" t="s">
        <v>707</v>
      </c>
      <c r="Z27" s="78">
        <v>0.08</v>
      </c>
      <c r="AA27">
        <v>7.0000000000000007E-2</v>
      </c>
      <c r="AB27" s="75"/>
      <c r="AC27" s="29"/>
      <c r="AD27" s="75"/>
      <c r="AE27" s="57">
        <v>4050500</v>
      </c>
      <c r="AF27" s="29" t="s">
        <v>789</v>
      </c>
      <c r="AG27" t="s">
        <v>1049</v>
      </c>
      <c r="AJ27">
        <v>15</v>
      </c>
      <c r="AO27" s="75">
        <v>26</v>
      </c>
      <c r="AP27" s="75" t="s">
        <v>421</v>
      </c>
      <c r="AQ27" s="57"/>
      <c r="AR27" t="s">
        <v>86</v>
      </c>
      <c r="AS27" s="75" t="s">
        <v>111</v>
      </c>
      <c r="AT27" s="75"/>
    </row>
    <row r="28" spans="1:46" x14ac:dyDescent="0.25">
      <c r="A28" s="189" t="s">
        <v>478</v>
      </c>
      <c r="B28" s="190" t="s">
        <v>488</v>
      </c>
      <c r="C28" s="190" t="s">
        <v>661</v>
      </c>
      <c r="D28" s="190">
        <v>138</v>
      </c>
      <c r="E28" s="190"/>
      <c r="F28" s="190" t="s">
        <v>121</v>
      </c>
      <c r="G28" s="190" t="s">
        <v>561</v>
      </c>
      <c r="H28" s="190" t="s">
        <v>556</v>
      </c>
      <c r="I28" s="190" t="s">
        <v>108</v>
      </c>
      <c r="J28" s="190">
        <v>23</v>
      </c>
      <c r="K28" s="190" t="s">
        <v>706</v>
      </c>
      <c r="L28" s="190"/>
      <c r="M28" s="428"/>
      <c r="O28" s="57">
        <v>40619</v>
      </c>
      <c r="P28" s="75" t="s">
        <v>605</v>
      </c>
      <c r="Q28" s="75"/>
      <c r="R28" s="75">
        <v>28</v>
      </c>
      <c r="S28" s="75"/>
      <c r="T28" s="75" t="s">
        <v>611</v>
      </c>
      <c r="U28" s="75" t="s">
        <v>564</v>
      </c>
      <c r="V28" s="75" t="s">
        <v>472</v>
      </c>
      <c r="W28" s="75" t="s">
        <v>108</v>
      </c>
      <c r="X28" s="78">
        <v>27</v>
      </c>
      <c r="Y28" s="75" t="s">
        <v>707</v>
      </c>
      <c r="Z28" s="78">
        <v>0.08</v>
      </c>
      <c r="AA28">
        <v>7.0000000000000007E-2</v>
      </c>
      <c r="AB28" s="75"/>
      <c r="AC28" s="29"/>
      <c r="AD28" s="75"/>
      <c r="AE28" s="77">
        <v>4051800</v>
      </c>
      <c r="AF28" s="29" t="s">
        <v>789</v>
      </c>
      <c r="AG28" s="75" t="s">
        <v>656</v>
      </c>
      <c r="AH28" s="75"/>
      <c r="AI28" s="75"/>
      <c r="AJ28" s="75">
        <v>15</v>
      </c>
      <c r="AK28" s="75"/>
      <c r="AL28" s="75"/>
      <c r="AM28" s="75"/>
      <c r="AN28" s="75"/>
      <c r="AO28">
        <v>27</v>
      </c>
      <c r="AP28" s="75" t="s">
        <v>111</v>
      </c>
      <c r="AQ28" s="77"/>
      <c r="AR28" t="s">
        <v>86</v>
      </c>
      <c r="AS28" s="75" t="s">
        <v>111</v>
      </c>
      <c r="AT28" s="75"/>
    </row>
    <row r="29" spans="1:46" x14ac:dyDescent="0.25">
      <c r="A29" s="189" t="s">
        <v>478</v>
      </c>
      <c r="B29" s="190" t="s">
        <v>489</v>
      </c>
      <c r="C29" s="190" t="s">
        <v>662</v>
      </c>
      <c r="D29" s="190">
        <v>221</v>
      </c>
      <c r="E29" s="190"/>
      <c r="F29" s="190" t="s">
        <v>121</v>
      </c>
      <c r="G29" s="190" t="s">
        <v>561</v>
      </c>
      <c r="H29" s="190" t="s">
        <v>559</v>
      </c>
      <c r="I29" s="190" t="s">
        <v>108</v>
      </c>
      <c r="J29" s="190">
        <v>24</v>
      </c>
      <c r="K29" s="190" t="s">
        <v>706</v>
      </c>
      <c r="L29" s="190"/>
      <c r="M29" s="428"/>
      <c r="O29" s="57">
        <v>40619</v>
      </c>
      <c r="P29" s="75" t="s">
        <v>606</v>
      </c>
      <c r="Q29" s="75"/>
      <c r="R29" s="75">
        <v>56</v>
      </c>
      <c r="S29" s="75"/>
      <c r="T29" s="75" t="s">
        <v>611</v>
      </c>
      <c r="U29" s="75" t="s">
        <v>564</v>
      </c>
      <c r="V29" s="75" t="s">
        <v>556</v>
      </c>
      <c r="W29" s="75" t="s">
        <v>108</v>
      </c>
      <c r="X29" s="78">
        <v>28</v>
      </c>
      <c r="Y29" s="75" t="s">
        <v>707</v>
      </c>
      <c r="Z29" s="78">
        <v>0.08</v>
      </c>
      <c r="AA29">
        <v>7.0000000000000007E-2</v>
      </c>
      <c r="AB29" s="75"/>
      <c r="AC29" s="29"/>
      <c r="AD29" s="75"/>
      <c r="AE29" s="139">
        <v>4050400</v>
      </c>
      <c r="AF29" s="29" t="s">
        <v>789</v>
      </c>
      <c r="AG29" s="140" t="s">
        <v>1032</v>
      </c>
      <c r="AH29" s="140"/>
      <c r="AI29" s="140"/>
      <c r="AJ29" s="140">
        <v>15</v>
      </c>
      <c r="AK29" s="140"/>
      <c r="AL29" s="140"/>
      <c r="AM29" s="140"/>
      <c r="AN29" s="140"/>
      <c r="AO29" s="75">
        <v>28</v>
      </c>
      <c r="AP29" s="75" t="s">
        <v>421</v>
      </c>
      <c r="AQ29" s="139"/>
      <c r="AR29" t="s">
        <v>86</v>
      </c>
      <c r="AS29" s="75" t="s">
        <v>111</v>
      </c>
      <c r="AT29" s="75"/>
    </row>
    <row r="30" spans="1:46" x14ac:dyDescent="0.25">
      <c r="A30" s="189" t="s">
        <v>478</v>
      </c>
      <c r="B30" s="190" t="s">
        <v>490</v>
      </c>
      <c r="C30" s="190" t="s">
        <v>663</v>
      </c>
      <c r="D30" s="190">
        <v>276</v>
      </c>
      <c r="E30" s="190"/>
      <c r="F30" s="190" t="s">
        <v>121</v>
      </c>
      <c r="G30" s="190" t="s">
        <v>561</v>
      </c>
      <c r="H30" s="190" t="s">
        <v>560</v>
      </c>
      <c r="I30" s="190" t="s">
        <v>108</v>
      </c>
      <c r="J30" s="190">
        <v>25</v>
      </c>
      <c r="K30" s="190" t="s">
        <v>706</v>
      </c>
      <c r="L30" s="190"/>
      <c r="M30" s="428"/>
      <c r="O30" s="77"/>
      <c r="P30" t="s">
        <v>1038</v>
      </c>
      <c r="Q30" s="75"/>
      <c r="R30" s="75" t="s">
        <v>658</v>
      </c>
      <c r="S30" s="75"/>
      <c r="T30" s="75"/>
      <c r="U30" s="75"/>
      <c r="V30" s="75"/>
      <c r="W30" s="75"/>
      <c r="X30" s="78">
        <v>29</v>
      </c>
      <c r="Y30" s="75"/>
      <c r="Z30" s="78">
        <v>0.08</v>
      </c>
      <c r="AB30" s="75"/>
      <c r="AC30" s="29"/>
      <c r="AD30" s="75"/>
      <c r="AE30" s="77">
        <v>4052110</v>
      </c>
      <c r="AF30" s="29" t="s">
        <v>789</v>
      </c>
      <c r="AG30" s="75" t="s">
        <v>654</v>
      </c>
      <c r="AH30" s="75"/>
      <c r="AI30" s="75"/>
      <c r="AJ30" s="75">
        <v>15</v>
      </c>
      <c r="AK30" s="75"/>
      <c r="AL30" s="75"/>
      <c r="AM30" s="75"/>
      <c r="AN30" s="75"/>
      <c r="AO30">
        <v>29</v>
      </c>
      <c r="AP30" s="75" t="s">
        <v>421</v>
      </c>
      <c r="AQ30" s="77"/>
      <c r="AR30" t="s">
        <v>86</v>
      </c>
      <c r="AS30" s="75" t="s">
        <v>111</v>
      </c>
      <c r="AT30" s="75"/>
    </row>
    <row r="31" spans="1:46" x14ac:dyDescent="0.25">
      <c r="A31" s="283" t="s">
        <v>491</v>
      </c>
      <c r="B31" s="284" t="s">
        <v>1550</v>
      </c>
      <c r="C31" s="284" t="s">
        <v>1553</v>
      </c>
      <c r="D31" s="284">
        <v>82</v>
      </c>
      <c r="E31" s="284"/>
      <c r="F31" s="284" t="s">
        <v>121</v>
      </c>
      <c r="G31" s="284" t="s">
        <v>558</v>
      </c>
      <c r="H31" s="284" t="s">
        <v>560</v>
      </c>
      <c r="I31" s="284" t="s">
        <v>108</v>
      </c>
      <c r="J31" s="284"/>
      <c r="K31" s="284" t="s">
        <v>1207</v>
      </c>
      <c r="L31" s="284"/>
      <c r="M31" s="430"/>
      <c r="O31" s="57">
        <v>40622</v>
      </c>
      <c r="P31" s="75" t="s">
        <v>763</v>
      </c>
      <c r="Q31" s="75"/>
      <c r="R31" s="75">
        <v>32</v>
      </c>
      <c r="S31" s="75"/>
      <c r="T31" s="75" t="s">
        <v>109</v>
      </c>
      <c r="U31" s="75" t="s">
        <v>558</v>
      </c>
      <c r="V31" s="75" t="s">
        <v>472</v>
      </c>
      <c r="W31" s="75" t="s">
        <v>108</v>
      </c>
      <c r="X31" s="78">
        <v>30</v>
      </c>
      <c r="Y31" s="75" t="s">
        <v>707</v>
      </c>
      <c r="Z31" s="78">
        <v>0.08</v>
      </c>
      <c r="AA31">
        <v>7.0000000000000007E-2</v>
      </c>
      <c r="AB31" s="75"/>
      <c r="AC31" s="29"/>
      <c r="AD31" s="75"/>
      <c r="AE31" s="77">
        <v>4052120</v>
      </c>
      <c r="AF31" s="29" t="s">
        <v>789</v>
      </c>
      <c r="AG31" s="75" t="s">
        <v>638</v>
      </c>
      <c r="AH31" s="75"/>
      <c r="AI31" s="75"/>
      <c r="AJ31" s="75">
        <v>10</v>
      </c>
      <c r="AK31" s="75"/>
      <c r="AL31" s="75"/>
      <c r="AM31" s="75"/>
      <c r="AN31" s="75"/>
      <c r="AO31" s="75">
        <v>30</v>
      </c>
      <c r="AP31" s="75" t="s">
        <v>111</v>
      </c>
      <c r="AQ31" s="77"/>
      <c r="AR31" t="s">
        <v>86</v>
      </c>
      <c r="AS31" s="75" t="s">
        <v>111</v>
      </c>
      <c r="AT31" s="75"/>
    </row>
    <row r="32" spans="1:46" x14ac:dyDescent="0.25">
      <c r="A32" s="283" t="s">
        <v>491</v>
      </c>
      <c r="B32" s="284" t="s">
        <v>1551</v>
      </c>
      <c r="C32" s="284" t="s">
        <v>1554</v>
      </c>
      <c r="D32" s="284">
        <v>133</v>
      </c>
      <c r="E32" s="284"/>
      <c r="F32" s="284" t="s">
        <v>121</v>
      </c>
      <c r="G32" s="284" t="s">
        <v>558</v>
      </c>
      <c r="H32" s="284" t="s">
        <v>560</v>
      </c>
      <c r="I32" s="284" t="s">
        <v>108</v>
      </c>
      <c r="J32" s="284"/>
      <c r="K32" s="284" t="s">
        <v>1207</v>
      </c>
      <c r="L32" s="284"/>
      <c r="M32" s="430"/>
      <c r="O32" s="57">
        <v>40622</v>
      </c>
      <c r="P32" s="75" t="s">
        <v>764</v>
      </c>
      <c r="Q32" s="75"/>
      <c r="R32" s="75">
        <v>64</v>
      </c>
      <c r="S32" s="75"/>
      <c r="T32" s="75" t="s">
        <v>109</v>
      </c>
      <c r="U32" s="75" t="s">
        <v>558</v>
      </c>
      <c r="V32" s="75" t="s">
        <v>556</v>
      </c>
      <c r="W32" s="75" t="s">
        <v>108</v>
      </c>
      <c r="X32" s="78">
        <v>31</v>
      </c>
      <c r="Y32" s="75" t="s">
        <v>707</v>
      </c>
      <c r="Z32" s="78">
        <v>0.08</v>
      </c>
      <c r="AA32">
        <v>7.0000000000000007E-2</v>
      </c>
      <c r="AB32" s="75"/>
      <c r="AC32" s="29"/>
      <c r="AD32" s="75"/>
      <c r="AE32" s="77">
        <v>4052000</v>
      </c>
      <c r="AF32" s="29" t="s">
        <v>789</v>
      </c>
      <c r="AG32" s="75" t="s">
        <v>615</v>
      </c>
      <c r="AH32" s="75"/>
      <c r="AI32" s="75"/>
      <c r="AJ32" s="75">
        <v>15</v>
      </c>
      <c r="AK32" s="75"/>
      <c r="AL32" s="75"/>
      <c r="AM32" s="75"/>
      <c r="AN32" s="75"/>
      <c r="AO32">
        <v>31</v>
      </c>
      <c r="AP32" s="75" t="s">
        <v>111</v>
      </c>
      <c r="AQ32" s="77"/>
      <c r="AR32" t="s">
        <v>86</v>
      </c>
      <c r="AS32" s="75" t="s">
        <v>111</v>
      </c>
      <c r="AT32" s="75"/>
    </row>
    <row r="33" spans="1:46" x14ac:dyDescent="0.25">
      <c r="A33" s="283" t="s">
        <v>491</v>
      </c>
      <c r="B33" s="284" t="s">
        <v>1552</v>
      </c>
      <c r="C33" s="284" t="s">
        <v>1555</v>
      </c>
      <c r="D33" s="284">
        <v>263</v>
      </c>
      <c r="E33" s="284"/>
      <c r="F33" s="284" t="s">
        <v>121</v>
      </c>
      <c r="G33" s="284" t="s">
        <v>558</v>
      </c>
      <c r="H33" s="284" t="s">
        <v>560</v>
      </c>
      <c r="I33" s="284" t="s">
        <v>108</v>
      </c>
      <c r="J33" s="284"/>
      <c r="K33" s="284" t="s">
        <v>1207</v>
      </c>
      <c r="L33" s="284"/>
      <c r="M33" s="430"/>
      <c r="O33" s="57">
        <v>40622</v>
      </c>
      <c r="P33" s="75" t="s">
        <v>765</v>
      </c>
      <c r="Q33" s="75"/>
      <c r="R33" s="75">
        <v>128</v>
      </c>
      <c r="S33" s="75"/>
      <c r="T33" s="75" t="s">
        <v>109</v>
      </c>
      <c r="U33" s="75" t="s">
        <v>558</v>
      </c>
      <c r="V33" s="75" t="s">
        <v>560</v>
      </c>
      <c r="W33" s="75" t="s">
        <v>108</v>
      </c>
      <c r="X33" s="78">
        <v>32</v>
      </c>
      <c r="Y33" s="75" t="s">
        <v>707</v>
      </c>
      <c r="Z33" s="78">
        <v>0.08</v>
      </c>
      <c r="AA33">
        <v>7.0000000000000007E-2</v>
      </c>
      <c r="AB33" s="75"/>
      <c r="AC33" s="29"/>
      <c r="AD33" s="75"/>
      <c r="AE33" s="77">
        <v>4050600</v>
      </c>
      <c r="AF33" s="29" t="s">
        <v>789</v>
      </c>
      <c r="AG33" s="75" t="s">
        <v>621</v>
      </c>
      <c r="AH33" s="75"/>
      <c r="AI33" s="75"/>
      <c r="AJ33" s="75">
        <v>15</v>
      </c>
      <c r="AK33" s="75"/>
      <c r="AL33" s="75"/>
      <c r="AM33" s="75"/>
      <c r="AN33" s="75"/>
      <c r="AO33" s="75">
        <v>32</v>
      </c>
      <c r="AP33" s="75" t="s">
        <v>421</v>
      </c>
      <c r="AQ33" s="77"/>
      <c r="AR33" t="s">
        <v>86</v>
      </c>
      <c r="AS33" s="75" t="s">
        <v>111</v>
      </c>
      <c r="AT33" s="75"/>
    </row>
    <row r="34" spans="1:46" x14ac:dyDescent="0.25">
      <c r="A34" s="189" t="s">
        <v>491</v>
      </c>
      <c r="B34" s="190" t="s">
        <v>492</v>
      </c>
      <c r="C34" s="190" t="s">
        <v>664</v>
      </c>
      <c r="D34" s="190">
        <v>125</v>
      </c>
      <c r="E34" s="190"/>
      <c r="F34" s="190" t="s">
        <v>562</v>
      </c>
      <c r="G34" s="190" t="s">
        <v>561</v>
      </c>
      <c r="H34" s="190" t="s">
        <v>472</v>
      </c>
      <c r="I34" s="190" t="s">
        <v>108</v>
      </c>
      <c r="J34" s="190">
        <v>26</v>
      </c>
      <c r="K34" s="190" t="s">
        <v>706</v>
      </c>
      <c r="L34" s="190"/>
      <c r="M34" s="428"/>
      <c r="O34" s="57">
        <v>40622</v>
      </c>
      <c r="P34" s="75" t="s">
        <v>766</v>
      </c>
      <c r="Q34" s="75"/>
      <c r="R34" s="75">
        <v>192</v>
      </c>
      <c r="S34" s="75"/>
      <c r="T34" s="75" t="s">
        <v>109</v>
      </c>
      <c r="U34" s="75" t="s">
        <v>558</v>
      </c>
      <c r="V34" s="75" t="s">
        <v>566</v>
      </c>
      <c r="W34" s="75" t="s">
        <v>108</v>
      </c>
      <c r="X34" s="78">
        <v>33</v>
      </c>
      <c r="Y34" s="75" t="s">
        <v>707</v>
      </c>
      <c r="Z34" s="78">
        <v>0.08</v>
      </c>
      <c r="AA34">
        <v>7.0000000000000007E-2</v>
      </c>
      <c r="AB34" s="75"/>
      <c r="AC34" s="29"/>
      <c r="AD34" s="75"/>
      <c r="AE34" s="77">
        <v>4050900</v>
      </c>
      <c r="AF34" s="29" t="s">
        <v>789</v>
      </c>
      <c r="AG34" s="75" t="s">
        <v>616</v>
      </c>
      <c r="AH34" s="75"/>
      <c r="AI34" s="75"/>
      <c r="AJ34" s="75">
        <v>15</v>
      </c>
      <c r="AK34" s="75"/>
      <c r="AL34" s="75"/>
      <c r="AM34" s="75"/>
      <c r="AN34" s="75"/>
      <c r="AO34">
        <v>33</v>
      </c>
      <c r="AP34" s="75" t="s">
        <v>111</v>
      </c>
      <c r="AQ34" s="77"/>
      <c r="AR34" t="s">
        <v>86</v>
      </c>
      <c r="AS34" s="75" t="s">
        <v>111</v>
      </c>
      <c r="AT34" s="75"/>
    </row>
    <row r="35" spans="1:46" x14ac:dyDescent="0.25">
      <c r="A35" s="189" t="s">
        <v>491</v>
      </c>
      <c r="B35" s="190" t="s">
        <v>493</v>
      </c>
      <c r="C35" s="190" t="s">
        <v>665</v>
      </c>
      <c r="D35" s="190">
        <v>227</v>
      </c>
      <c r="E35" s="190"/>
      <c r="F35" s="190" t="s">
        <v>562</v>
      </c>
      <c r="G35" s="190" t="s">
        <v>561</v>
      </c>
      <c r="H35" s="190" t="s">
        <v>556</v>
      </c>
      <c r="I35" s="190" t="s">
        <v>108</v>
      </c>
      <c r="J35" s="190">
        <v>27</v>
      </c>
      <c r="K35" s="190" t="s">
        <v>706</v>
      </c>
      <c r="L35" s="190"/>
      <c r="M35" s="428"/>
      <c r="N35" s="79"/>
      <c r="O35" s="57">
        <v>40623</v>
      </c>
      <c r="P35" s="75" t="s">
        <v>708</v>
      </c>
      <c r="Q35" s="75" t="s">
        <v>150</v>
      </c>
      <c r="R35" s="75">
        <v>62</v>
      </c>
      <c r="S35" s="75"/>
      <c r="T35" s="75" t="s">
        <v>714</v>
      </c>
      <c r="U35" s="75" t="s">
        <v>558</v>
      </c>
      <c r="V35" s="75" t="s">
        <v>472</v>
      </c>
      <c r="W35" s="75" t="s">
        <v>108</v>
      </c>
      <c r="X35" s="78">
        <v>34</v>
      </c>
      <c r="Y35" s="75" t="s">
        <v>707</v>
      </c>
      <c r="Z35" s="78">
        <v>0.08</v>
      </c>
      <c r="AA35">
        <v>7.0000000000000007E-2</v>
      </c>
      <c r="AB35" s="75"/>
      <c r="AC35" s="29"/>
      <c r="AD35" s="75"/>
      <c r="AE35" s="77">
        <v>4052300</v>
      </c>
      <c r="AF35" s="29" t="s">
        <v>789</v>
      </c>
      <c r="AG35" s="75" t="s">
        <v>617</v>
      </c>
      <c r="AH35" s="75"/>
      <c r="AI35" s="75"/>
      <c r="AJ35" s="75">
        <v>15</v>
      </c>
      <c r="AK35" s="75"/>
      <c r="AL35" s="75"/>
      <c r="AM35" s="75"/>
      <c r="AN35" s="75"/>
      <c r="AO35" s="75">
        <v>34</v>
      </c>
      <c r="AP35" s="75" t="s">
        <v>111</v>
      </c>
      <c r="AQ35" s="77"/>
      <c r="AR35" t="s">
        <v>86</v>
      </c>
      <c r="AS35" s="75" t="s">
        <v>111</v>
      </c>
      <c r="AT35" s="75"/>
    </row>
    <row r="36" spans="1:46" x14ac:dyDescent="0.25">
      <c r="A36" s="189" t="s">
        <v>491</v>
      </c>
      <c r="B36" s="190" t="s">
        <v>494</v>
      </c>
      <c r="C36" s="190" t="s">
        <v>1226</v>
      </c>
      <c r="D36" s="190">
        <v>352</v>
      </c>
      <c r="E36" s="190"/>
      <c r="F36" s="190" t="s">
        <v>562</v>
      </c>
      <c r="G36" s="190" t="s">
        <v>561</v>
      </c>
      <c r="H36" s="190" t="s">
        <v>559</v>
      </c>
      <c r="I36" s="190" t="s">
        <v>108</v>
      </c>
      <c r="J36" s="190">
        <v>28</v>
      </c>
      <c r="K36" s="190" t="s">
        <v>706</v>
      </c>
      <c r="L36" s="190"/>
      <c r="M36" s="428"/>
      <c r="N36" s="79"/>
      <c r="O36" s="57">
        <v>40623</v>
      </c>
      <c r="P36" s="75" t="s">
        <v>709</v>
      </c>
      <c r="Q36" s="75" t="s">
        <v>151</v>
      </c>
      <c r="R36" s="75">
        <v>117</v>
      </c>
      <c r="S36" s="75"/>
      <c r="T36" s="75" t="s">
        <v>714</v>
      </c>
      <c r="U36" s="75" t="s">
        <v>558</v>
      </c>
      <c r="V36" s="75" t="s">
        <v>556</v>
      </c>
      <c r="W36" s="75" t="s">
        <v>108</v>
      </c>
      <c r="X36" s="78">
        <v>35</v>
      </c>
      <c r="Y36" s="75" t="s">
        <v>707</v>
      </c>
      <c r="Z36" s="78">
        <v>0.08</v>
      </c>
      <c r="AA36">
        <v>7.0000000000000007E-2</v>
      </c>
      <c r="AB36" s="75"/>
      <c r="AC36" s="29"/>
      <c r="AD36" s="75"/>
      <c r="AE36" s="77">
        <v>4050800</v>
      </c>
      <c r="AF36" s="29" t="s">
        <v>789</v>
      </c>
      <c r="AG36" s="75" t="s">
        <v>641</v>
      </c>
      <c r="AH36" s="75"/>
      <c r="AI36" s="75"/>
      <c r="AJ36" s="75">
        <v>15</v>
      </c>
      <c r="AK36" s="75"/>
      <c r="AL36" s="75"/>
      <c r="AM36" s="75"/>
      <c r="AN36" s="75"/>
      <c r="AO36">
        <v>35</v>
      </c>
      <c r="AP36" s="75" t="s">
        <v>111</v>
      </c>
      <c r="AQ36" s="77"/>
      <c r="AR36" t="s">
        <v>86</v>
      </c>
      <c r="AS36" s="75" t="s">
        <v>111</v>
      </c>
      <c r="AT36" s="75"/>
    </row>
    <row r="37" spans="1:46" x14ac:dyDescent="0.25">
      <c r="A37" s="189" t="s">
        <v>491</v>
      </c>
      <c r="B37" s="190" t="s">
        <v>495</v>
      </c>
      <c r="C37" s="190" t="s">
        <v>1225</v>
      </c>
      <c r="D37" s="190">
        <v>454</v>
      </c>
      <c r="E37" s="190"/>
      <c r="F37" s="190" t="s">
        <v>562</v>
      </c>
      <c r="G37" s="190" t="s">
        <v>561</v>
      </c>
      <c r="H37" s="190" t="s">
        <v>560</v>
      </c>
      <c r="I37" s="190" t="s">
        <v>108</v>
      </c>
      <c r="J37" s="190">
        <v>29</v>
      </c>
      <c r="K37" s="190" t="s">
        <v>706</v>
      </c>
      <c r="L37" s="190"/>
      <c r="M37" s="428"/>
      <c r="N37" s="79"/>
      <c r="O37" s="57">
        <v>40623</v>
      </c>
      <c r="P37" s="75" t="s">
        <v>710</v>
      </c>
      <c r="Q37" s="75" t="s">
        <v>152</v>
      </c>
      <c r="R37" s="75">
        <v>240</v>
      </c>
      <c r="S37" s="75"/>
      <c r="T37" s="75" t="s">
        <v>714</v>
      </c>
      <c r="U37" s="75" t="s">
        <v>558</v>
      </c>
      <c r="V37" s="75" t="s">
        <v>560</v>
      </c>
      <c r="W37" s="75" t="s">
        <v>108</v>
      </c>
      <c r="X37" s="78">
        <v>36</v>
      </c>
      <c r="Y37" s="75" t="s">
        <v>707</v>
      </c>
      <c r="Z37" s="78">
        <v>0.08</v>
      </c>
      <c r="AA37">
        <v>7.0000000000000007E-2</v>
      </c>
      <c r="AB37" s="75"/>
      <c r="AC37" s="29"/>
      <c r="AD37" s="75"/>
      <c r="AE37" s="77">
        <v>4010100</v>
      </c>
      <c r="AF37" s="29" t="s">
        <v>789</v>
      </c>
      <c r="AG37" s="75" t="s">
        <v>644</v>
      </c>
      <c r="AH37" s="75"/>
      <c r="AI37" s="75"/>
      <c r="AJ37" s="75">
        <v>20</v>
      </c>
      <c r="AK37" s="75"/>
      <c r="AL37" s="75"/>
      <c r="AM37" s="75"/>
      <c r="AN37" s="75"/>
      <c r="AO37" s="75">
        <v>36</v>
      </c>
      <c r="AP37" s="75" t="s">
        <v>419</v>
      </c>
      <c r="AQ37" s="77"/>
      <c r="AR37" t="s">
        <v>86</v>
      </c>
      <c r="AS37" s="75" t="s">
        <v>111</v>
      </c>
      <c r="AT37" s="75"/>
    </row>
    <row r="38" spans="1:46" x14ac:dyDescent="0.25">
      <c r="A38" s="189" t="s">
        <v>496</v>
      </c>
      <c r="B38" s="190" t="s">
        <v>497</v>
      </c>
      <c r="C38" s="190" t="s">
        <v>666</v>
      </c>
      <c r="D38" s="190">
        <v>200</v>
      </c>
      <c r="E38" s="190"/>
      <c r="F38" s="190" t="s">
        <v>563</v>
      </c>
      <c r="G38" s="190" t="s">
        <v>561</v>
      </c>
      <c r="H38" s="190" t="s">
        <v>472</v>
      </c>
      <c r="I38" s="190" t="s">
        <v>108</v>
      </c>
      <c r="J38" s="190">
        <v>30</v>
      </c>
      <c r="K38" s="190" t="s">
        <v>706</v>
      </c>
      <c r="L38" s="190"/>
      <c r="M38" s="428"/>
      <c r="N38" s="79"/>
      <c r="O38" s="57">
        <v>40623</v>
      </c>
      <c r="P38" s="75" t="s">
        <v>711</v>
      </c>
      <c r="Q38" s="75" t="s">
        <v>153</v>
      </c>
      <c r="R38" s="75">
        <v>360</v>
      </c>
      <c r="S38" s="75"/>
      <c r="T38" s="75" t="s">
        <v>714</v>
      </c>
      <c r="U38" s="75" t="s">
        <v>558</v>
      </c>
      <c r="V38" s="75" t="s">
        <v>566</v>
      </c>
      <c r="W38" s="75" t="s">
        <v>108</v>
      </c>
      <c r="X38" s="78">
        <v>37</v>
      </c>
      <c r="Y38" s="75" t="s">
        <v>707</v>
      </c>
      <c r="Z38" s="78">
        <v>0.08</v>
      </c>
      <c r="AA38">
        <v>7.0000000000000007E-2</v>
      </c>
      <c r="AB38" s="75"/>
      <c r="AC38" s="29"/>
      <c r="AD38" s="75"/>
      <c r="AE38" s="77">
        <v>4010200</v>
      </c>
      <c r="AF38" s="29" t="s">
        <v>789</v>
      </c>
      <c r="AG38" s="75" t="s">
        <v>622</v>
      </c>
      <c r="AH38" s="75"/>
      <c r="AI38" s="75"/>
      <c r="AJ38" s="75">
        <v>10</v>
      </c>
      <c r="AK38" s="75"/>
      <c r="AL38" s="75"/>
      <c r="AM38" s="75"/>
      <c r="AN38" s="75"/>
      <c r="AO38">
        <v>37</v>
      </c>
      <c r="AP38" s="75" t="s">
        <v>419</v>
      </c>
      <c r="AQ38" s="77"/>
      <c r="AR38" t="s">
        <v>86</v>
      </c>
      <c r="AS38" s="75" t="s">
        <v>111</v>
      </c>
      <c r="AT38" s="75"/>
    </row>
    <row r="39" spans="1:46" x14ac:dyDescent="0.25">
      <c r="A39" s="189" t="s">
        <v>496</v>
      </c>
      <c r="B39" s="190" t="s">
        <v>498</v>
      </c>
      <c r="C39" s="190" t="s">
        <v>667</v>
      </c>
      <c r="D39" s="190">
        <v>390</v>
      </c>
      <c r="E39" s="190"/>
      <c r="F39" s="190" t="s">
        <v>563</v>
      </c>
      <c r="G39" s="190" t="s">
        <v>561</v>
      </c>
      <c r="H39" s="190" t="s">
        <v>556</v>
      </c>
      <c r="I39" s="190" t="s">
        <v>108</v>
      </c>
      <c r="J39" s="190">
        <v>31</v>
      </c>
      <c r="K39" s="190" t="s">
        <v>706</v>
      </c>
      <c r="L39" s="190"/>
      <c r="M39" s="428"/>
      <c r="N39" s="79"/>
      <c r="O39" s="57">
        <v>40623</v>
      </c>
      <c r="P39" s="75" t="s">
        <v>712</v>
      </c>
      <c r="Q39" s="75" t="s">
        <v>154</v>
      </c>
      <c r="R39" s="75">
        <v>468</v>
      </c>
      <c r="S39" s="75"/>
      <c r="T39" s="75" t="s">
        <v>714</v>
      </c>
      <c r="U39" s="75" t="s">
        <v>558</v>
      </c>
      <c r="V39" s="75" t="s">
        <v>567</v>
      </c>
      <c r="W39" s="75" t="s">
        <v>108</v>
      </c>
      <c r="X39" s="78">
        <v>38</v>
      </c>
      <c r="Y39" s="75" t="s">
        <v>707</v>
      </c>
      <c r="Z39" s="78">
        <v>0.08</v>
      </c>
      <c r="AA39">
        <v>7.0000000000000007E-2</v>
      </c>
      <c r="AB39" s="75"/>
      <c r="AC39" s="29"/>
      <c r="AD39" s="75"/>
      <c r="AE39" s="77">
        <v>4010300</v>
      </c>
      <c r="AF39" s="29" t="s">
        <v>789</v>
      </c>
      <c r="AG39" s="75" t="s">
        <v>623</v>
      </c>
      <c r="AH39" s="75"/>
      <c r="AI39" s="75"/>
      <c r="AJ39" s="75">
        <v>15</v>
      </c>
      <c r="AK39" s="75"/>
      <c r="AL39" s="75"/>
      <c r="AM39" s="75"/>
      <c r="AN39" s="75"/>
      <c r="AO39" s="75">
        <v>38</v>
      </c>
      <c r="AP39" s="75" t="s">
        <v>419</v>
      </c>
      <c r="AQ39" s="77"/>
      <c r="AR39" t="s">
        <v>86</v>
      </c>
      <c r="AS39" s="75" t="s">
        <v>111</v>
      </c>
      <c r="AT39" s="75"/>
    </row>
    <row r="40" spans="1:46" x14ac:dyDescent="0.25">
      <c r="A40" s="189" t="s">
        <v>496</v>
      </c>
      <c r="B40" s="190" t="s">
        <v>499</v>
      </c>
      <c r="C40" s="190" t="s">
        <v>668</v>
      </c>
      <c r="D40" s="190">
        <v>590</v>
      </c>
      <c r="E40" s="190"/>
      <c r="F40" s="190" t="s">
        <v>563</v>
      </c>
      <c r="G40" s="190" t="s">
        <v>561</v>
      </c>
      <c r="H40" s="190" t="s">
        <v>559</v>
      </c>
      <c r="I40" s="190" t="s">
        <v>108</v>
      </c>
      <c r="J40" s="190">
        <v>32</v>
      </c>
      <c r="K40" s="190" t="s">
        <v>706</v>
      </c>
      <c r="L40" s="190"/>
      <c r="M40" s="428"/>
      <c r="N40" s="79"/>
      <c r="O40" s="57">
        <v>40623</v>
      </c>
      <c r="P40" s="75" t="s">
        <v>713</v>
      </c>
      <c r="Q40" s="75" t="s">
        <v>155</v>
      </c>
      <c r="R40" s="75">
        <v>577</v>
      </c>
      <c r="S40" s="75"/>
      <c r="T40" s="75" t="s">
        <v>714</v>
      </c>
      <c r="U40" s="75" t="s">
        <v>558</v>
      </c>
      <c r="V40" s="75" t="s">
        <v>568</v>
      </c>
      <c r="W40" s="75" t="s">
        <v>108</v>
      </c>
      <c r="X40" s="78">
        <v>39</v>
      </c>
      <c r="Y40" s="75" t="s">
        <v>719</v>
      </c>
      <c r="Z40" s="78">
        <v>0.08</v>
      </c>
      <c r="AA40">
        <v>7.0000000000000007E-2</v>
      </c>
      <c r="AB40" s="75"/>
      <c r="AC40" s="29"/>
      <c r="AD40" s="75"/>
      <c r="AE40" s="57">
        <v>4051700</v>
      </c>
      <c r="AF40" s="179" t="s">
        <v>789</v>
      </c>
      <c r="AG40" t="s">
        <v>1164</v>
      </c>
      <c r="AJ40">
        <v>15</v>
      </c>
      <c r="AO40">
        <v>39</v>
      </c>
      <c r="AP40" t="s">
        <v>111</v>
      </c>
      <c r="AQ40" s="57"/>
      <c r="AR40" t="s">
        <v>86</v>
      </c>
      <c r="AS40" t="s">
        <v>111</v>
      </c>
      <c r="AT40" s="75"/>
    </row>
    <row r="41" spans="1:46" x14ac:dyDescent="0.25">
      <c r="A41" s="189" t="s">
        <v>496</v>
      </c>
      <c r="B41" s="190" t="s">
        <v>473</v>
      </c>
      <c r="C41" s="190" t="s">
        <v>1227</v>
      </c>
      <c r="D41" s="190">
        <v>780</v>
      </c>
      <c r="E41" s="190"/>
      <c r="F41" s="190" t="s">
        <v>563</v>
      </c>
      <c r="G41" s="190" t="s">
        <v>561</v>
      </c>
      <c r="H41" s="190" t="s">
        <v>560</v>
      </c>
      <c r="I41" s="190" t="s">
        <v>108</v>
      </c>
      <c r="J41" s="190">
        <v>33</v>
      </c>
      <c r="K41" s="190" t="s">
        <v>706</v>
      </c>
      <c r="L41" s="190"/>
      <c r="M41" s="428"/>
      <c r="N41" s="79"/>
      <c r="O41" s="77"/>
      <c r="P41" t="s">
        <v>1038</v>
      </c>
      <c r="Q41" s="75"/>
      <c r="R41" s="75" t="s">
        <v>658</v>
      </c>
      <c r="S41" s="75"/>
      <c r="T41" s="75"/>
      <c r="U41" s="75"/>
      <c r="V41" s="75"/>
      <c r="W41" s="75"/>
      <c r="X41" s="78">
        <v>40</v>
      </c>
      <c r="Y41" s="75"/>
      <c r="Z41" s="78">
        <v>0.08</v>
      </c>
      <c r="AB41" s="75"/>
      <c r="AC41" s="29"/>
      <c r="AD41" s="75"/>
      <c r="AE41" s="77">
        <v>4040100</v>
      </c>
      <c r="AF41" s="29" t="s">
        <v>789</v>
      </c>
      <c r="AG41" t="s">
        <v>796</v>
      </c>
      <c r="AH41" s="75"/>
      <c r="AI41" s="75"/>
      <c r="AJ41" s="75"/>
      <c r="AK41" s="75"/>
      <c r="AL41" s="75"/>
      <c r="AM41" s="75"/>
      <c r="AN41" s="75"/>
      <c r="AO41" s="75">
        <v>40</v>
      </c>
      <c r="AP41" s="75" t="s">
        <v>421</v>
      </c>
      <c r="AQ41" s="77"/>
      <c r="AR41" t="s">
        <v>86</v>
      </c>
      <c r="AS41" s="75" t="s">
        <v>111</v>
      </c>
      <c r="AT41" s="75"/>
    </row>
    <row r="42" spans="1:46" x14ac:dyDescent="0.25">
      <c r="A42" s="189" t="s">
        <v>478</v>
      </c>
      <c r="B42" s="190" t="s">
        <v>133</v>
      </c>
      <c r="C42" s="190" t="s">
        <v>669</v>
      </c>
      <c r="D42" s="190">
        <v>48</v>
      </c>
      <c r="E42" s="190"/>
      <c r="F42" s="190" t="s">
        <v>121</v>
      </c>
      <c r="G42" s="190" t="s">
        <v>558</v>
      </c>
      <c r="H42" s="190" t="s">
        <v>472</v>
      </c>
      <c r="I42" s="190" t="s">
        <v>108</v>
      </c>
      <c r="J42" s="190">
        <v>34</v>
      </c>
      <c r="K42" s="190" t="s">
        <v>706</v>
      </c>
      <c r="L42" s="190"/>
      <c r="M42" s="428"/>
      <c r="N42" s="79"/>
      <c r="O42" s="57">
        <v>40625</v>
      </c>
      <c r="P42" s="75" t="s">
        <v>770</v>
      </c>
      <c r="Q42" s="75"/>
      <c r="R42" s="75" t="str">
        <f>""</f>
        <v/>
      </c>
      <c r="S42" s="75"/>
      <c r="T42" s="75" t="s">
        <v>772</v>
      </c>
      <c r="U42" s="75"/>
      <c r="V42" s="75"/>
      <c r="W42" s="75" t="s">
        <v>108</v>
      </c>
      <c r="X42" s="78">
        <v>41</v>
      </c>
      <c r="Y42" s="75"/>
      <c r="Z42" s="78">
        <v>0.08</v>
      </c>
      <c r="AA42">
        <v>7.0000000000000007E-2</v>
      </c>
      <c r="AB42" s="75"/>
      <c r="AC42" s="29"/>
      <c r="AD42" s="75"/>
      <c r="AE42" s="77"/>
      <c r="AF42" s="75"/>
      <c r="AG42" s="75"/>
      <c r="AH42" s="75"/>
      <c r="AI42" s="75"/>
      <c r="AJ42" s="75"/>
      <c r="AK42" s="75"/>
      <c r="AL42" s="75"/>
      <c r="AM42" s="75"/>
      <c r="AN42" s="75"/>
      <c r="AO42" s="75"/>
      <c r="AP42" s="75"/>
      <c r="AQ42" s="75"/>
      <c r="AR42" s="75"/>
      <c r="AS42" s="75"/>
      <c r="AT42" s="75"/>
    </row>
    <row r="43" spans="1:46" x14ac:dyDescent="0.25">
      <c r="A43" s="189" t="s">
        <v>478</v>
      </c>
      <c r="B43" s="190" t="s">
        <v>134</v>
      </c>
      <c r="C43" s="190" t="s">
        <v>670</v>
      </c>
      <c r="D43" s="190">
        <v>72</v>
      </c>
      <c r="E43" s="190"/>
      <c r="F43" s="190" t="s">
        <v>121</v>
      </c>
      <c r="G43" s="190" t="s">
        <v>558</v>
      </c>
      <c r="H43" s="190" t="s">
        <v>556</v>
      </c>
      <c r="I43" s="190" t="s">
        <v>108</v>
      </c>
      <c r="J43" s="190">
        <v>35</v>
      </c>
      <c r="K43" s="190" t="s">
        <v>706</v>
      </c>
      <c r="L43" s="190"/>
      <c r="M43" s="428"/>
      <c r="N43" s="79"/>
      <c r="O43" s="57">
        <v>40624</v>
      </c>
      <c r="P43" t="s">
        <v>838</v>
      </c>
      <c r="R43" s="75" t="str">
        <f>""</f>
        <v/>
      </c>
      <c r="T43" t="s">
        <v>838</v>
      </c>
      <c r="W43" s="75" t="s">
        <v>108</v>
      </c>
      <c r="X43" s="78">
        <v>42</v>
      </c>
      <c r="Z43" s="78">
        <v>0.08</v>
      </c>
      <c r="AB43" s="75"/>
      <c r="AC43" s="29"/>
      <c r="AD43" s="75"/>
      <c r="AE43" s="77" t="s">
        <v>92</v>
      </c>
      <c r="AF43" s="77" t="s">
        <v>775</v>
      </c>
      <c r="AG43" s="75" t="s">
        <v>645</v>
      </c>
      <c r="AH43" s="75" t="s">
        <v>646</v>
      </c>
      <c r="AI43" t="s">
        <v>790</v>
      </c>
      <c r="AJ43" s="75" t="s">
        <v>100</v>
      </c>
      <c r="AK43" s="75" t="s">
        <v>94</v>
      </c>
      <c r="AL43" s="75" t="s">
        <v>470</v>
      </c>
      <c r="AM43" s="75" t="s">
        <v>471</v>
      </c>
      <c r="AN43" s="75" t="s">
        <v>614</v>
      </c>
      <c r="AO43" s="75" t="s">
        <v>475</v>
      </c>
      <c r="AP43" s="75" t="s">
        <v>613</v>
      </c>
      <c r="AQ43" s="75" t="s">
        <v>460</v>
      </c>
      <c r="AR43" t="s">
        <v>837</v>
      </c>
      <c r="AS43" s="75" t="s">
        <v>612</v>
      </c>
      <c r="AT43" s="75"/>
    </row>
    <row r="44" spans="1:46" x14ac:dyDescent="0.25">
      <c r="A44" s="189" t="s">
        <v>478</v>
      </c>
      <c r="B44" s="190" t="s">
        <v>1199</v>
      </c>
      <c r="C44" s="190" t="s">
        <v>1228</v>
      </c>
      <c r="D44" s="190">
        <v>115</v>
      </c>
      <c r="E44" s="190"/>
      <c r="F44" s="190" t="s">
        <v>121</v>
      </c>
      <c r="G44" s="190" t="s">
        <v>558</v>
      </c>
      <c r="H44" s="190" t="s">
        <v>559</v>
      </c>
      <c r="I44" s="190" t="s">
        <v>108</v>
      </c>
      <c r="J44" s="190">
        <v>36</v>
      </c>
      <c r="K44" s="190" t="s">
        <v>707</v>
      </c>
      <c r="L44" s="190"/>
      <c r="M44" s="428"/>
      <c r="N44" s="79"/>
      <c r="O44" s="57">
        <v>40626</v>
      </c>
      <c r="P44" s="75" t="s">
        <v>767</v>
      </c>
      <c r="Q44" s="75"/>
      <c r="R44" s="75" t="str">
        <f>""</f>
        <v/>
      </c>
      <c r="S44" s="75"/>
      <c r="T44" t="s">
        <v>839</v>
      </c>
      <c r="U44" s="75" t="s">
        <v>114</v>
      </c>
      <c r="V44" s="75"/>
      <c r="W44" s="75" t="s">
        <v>108</v>
      </c>
      <c r="X44" s="78">
        <v>43</v>
      </c>
      <c r="Y44" s="75"/>
      <c r="Z44" s="78">
        <v>0.08</v>
      </c>
      <c r="AA44">
        <v>7.0000000000000007E-2</v>
      </c>
      <c r="AB44" s="75"/>
      <c r="AC44" s="29"/>
      <c r="AD44" s="75"/>
      <c r="AE44" s="77"/>
      <c r="AF44" s="77"/>
      <c r="AG44" s="75" t="s">
        <v>461</v>
      </c>
      <c r="AH44" s="75"/>
      <c r="AI44" s="75"/>
      <c r="AJ44" s="75">
        <v>15</v>
      </c>
      <c r="AK44" s="75"/>
      <c r="AL44" s="75"/>
      <c r="AM44" s="75"/>
      <c r="AN44" s="75"/>
      <c r="AO44" s="75">
        <v>1</v>
      </c>
      <c r="AP44" s="75" t="s">
        <v>105</v>
      </c>
      <c r="AQ44" s="75"/>
      <c r="AR44" s="75"/>
      <c r="AS44" s="75" t="s">
        <v>105</v>
      </c>
      <c r="AT44" s="75"/>
    </row>
    <row r="45" spans="1:46" x14ac:dyDescent="0.25">
      <c r="A45" s="189"/>
      <c r="B45" s="190" t="s">
        <v>1038</v>
      </c>
      <c r="C45" s="190"/>
      <c r="D45" s="190" t="s">
        <v>658</v>
      </c>
      <c r="E45" s="190"/>
      <c r="F45" s="190"/>
      <c r="G45" s="190"/>
      <c r="H45" s="190"/>
      <c r="I45" s="190"/>
      <c r="J45" s="190">
        <v>37</v>
      </c>
      <c r="K45" s="190"/>
      <c r="L45" s="190"/>
      <c r="M45" s="428"/>
      <c r="N45" s="79"/>
      <c r="O45" s="77"/>
      <c r="P45" s="75"/>
      <c r="Q45" s="75"/>
      <c r="R45" s="75"/>
      <c r="S45" s="75"/>
      <c r="T45" s="75"/>
      <c r="U45" s="75"/>
      <c r="V45" s="75"/>
      <c r="W45" s="75"/>
      <c r="X45" s="75"/>
      <c r="Y45" s="75"/>
      <c r="Z45" s="75"/>
      <c r="AA45" s="75"/>
      <c r="AB45" s="75"/>
      <c r="AC45" s="29"/>
      <c r="AD45" s="75"/>
      <c r="AF45" s="57"/>
      <c r="AG45" t="s">
        <v>1097</v>
      </c>
      <c r="AJ45">
        <v>15</v>
      </c>
      <c r="AO45">
        <v>2</v>
      </c>
      <c r="AP45" t="s">
        <v>424</v>
      </c>
      <c r="AS45" t="s">
        <v>105</v>
      </c>
      <c r="AT45" s="75"/>
    </row>
    <row r="46" spans="1:46" x14ac:dyDescent="0.25">
      <c r="A46" s="189" t="s">
        <v>500</v>
      </c>
      <c r="B46" s="190" t="s">
        <v>501</v>
      </c>
      <c r="C46" s="190" t="s">
        <v>671</v>
      </c>
      <c r="D46" s="190">
        <v>16</v>
      </c>
      <c r="E46" s="190"/>
      <c r="F46" s="190" t="s">
        <v>110</v>
      </c>
      <c r="G46" s="190" t="s">
        <v>469</v>
      </c>
      <c r="H46" s="190" t="s">
        <v>472</v>
      </c>
      <c r="I46" s="190" t="s">
        <v>108</v>
      </c>
      <c r="J46" s="190">
        <v>38</v>
      </c>
      <c r="K46" s="190" t="s">
        <v>707</v>
      </c>
      <c r="L46" s="190"/>
      <c r="M46" s="428"/>
      <c r="N46" s="79"/>
      <c r="O46" s="77"/>
      <c r="P46" s="75"/>
      <c r="Q46" s="75"/>
      <c r="R46" s="75"/>
      <c r="S46" s="75"/>
      <c r="T46" s="75"/>
      <c r="U46" s="75"/>
      <c r="V46" s="75"/>
      <c r="W46" s="75"/>
      <c r="X46" s="75"/>
      <c r="Y46" s="75"/>
      <c r="Z46" s="75"/>
      <c r="AA46" s="75"/>
      <c r="AB46" s="75"/>
      <c r="AC46" s="29"/>
      <c r="AD46" s="75"/>
      <c r="AF46" s="57"/>
      <c r="AG46" t="s">
        <v>1394</v>
      </c>
      <c r="AJ46">
        <v>15</v>
      </c>
      <c r="AO46">
        <v>3</v>
      </c>
      <c r="AP46" t="s">
        <v>424</v>
      </c>
      <c r="AS46" t="s">
        <v>105</v>
      </c>
      <c r="AT46" s="75"/>
    </row>
    <row r="47" spans="1:46" x14ac:dyDescent="0.25">
      <c r="A47" s="189" t="s">
        <v>500</v>
      </c>
      <c r="B47" s="190" t="s">
        <v>502</v>
      </c>
      <c r="C47" s="190" t="s">
        <v>672</v>
      </c>
      <c r="D47" s="190">
        <v>32</v>
      </c>
      <c r="E47" s="190"/>
      <c r="F47" s="190" t="s">
        <v>110</v>
      </c>
      <c r="G47" s="190" t="s">
        <v>469</v>
      </c>
      <c r="H47" s="190" t="s">
        <v>556</v>
      </c>
      <c r="I47" s="190" t="s">
        <v>108</v>
      </c>
      <c r="J47" s="190">
        <v>39</v>
      </c>
      <c r="K47" s="190" t="s">
        <v>707</v>
      </c>
      <c r="L47" s="190"/>
      <c r="M47" s="428"/>
      <c r="N47" s="79"/>
      <c r="O47" s="77" t="s">
        <v>92</v>
      </c>
      <c r="P47" s="75" t="s">
        <v>124</v>
      </c>
      <c r="Q47" s="75" t="s">
        <v>125</v>
      </c>
      <c r="R47" s="75" t="s">
        <v>140</v>
      </c>
      <c r="S47" s="75" t="s">
        <v>141</v>
      </c>
      <c r="T47" s="75" t="s">
        <v>94</v>
      </c>
      <c r="U47" s="75" t="s">
        <v>470</v>
      </c>
      <c r="V47" s="75" t="s">
        <v>471</v>
      </c>
      <c r="W47" s="75" t="s">
        <v>97</v>
      </c>
      <c r="X47" s="75" t="s">
        <v>475</v>
      </c>
      <c r="Y47" s="75" t="s">
        <v>705</v>
      </c>
      <c r="Z47" s="75" t="s">
        <v>790</v>
      </c>
      <c r="AA47" s="75" t="s">
        <v>1124</v>
      </c>
      <c r="AB47" s="75"/>
      <c r="AC47" s="29"/>
      <c r="AD47" s="75"/>
      <c r="AE47" s="77"/>
      <c r="AF47" s="77"/>
      <c r="AG47" s="75"/>
      <c r="AH47" s="75"/>
      <c r="AI47" s="75"/>
      <c r="AJ47" s="75"/>
      <c r="AK47" s="75"/>
      <c r="AL47" s="75"/>
      <c r="AM47" s="75"/>
      <c r="AN47" s="75"/>
      <c r="AO47" s="75"/>
      <c r="AP47" s="75"/>
      <c r="AQ47" s="75"/>
      <c r="AR47" s="75"/>
      <c r="AS47" s="75"/>
      <c r="AT47" s="75"/>
    </row>
    <row r="48" spans="1:46" x14ac:dyDescent="0.25">
      <c r="A48" s="189" t="s">
        <v>500</v>
      </c>
      <c r="B48" s="190" t="s">
        <v>1192</v>
      </c>
      <c r="C48" s="190" t="s">
        <v>1232</v>
      </c>
      <c r="D48" s="190">
        <v>48</v>
      </c>
      <c r="E48" s="190"/>
      <c r="F48" s="190" t="s">
        <v>110</v>
      </c>
      <c r="G48" s="190" t="s">
        <v>469</v>
      </c>
      <c r="H48" s="190" t="s">
        <v>559</v>
      </c>
      <c r="I48" s="190" t="s">
        <v>108</v>
      </c>
      <c r="J48" s="190">
        <v>40</v>
      </c>
      <c r="K48" s="190" t="s">
        <v>707</v>
      </c>
      <c r="L48" s="190"/>
      <c r="M48" s="428"/>
      <c r="N48" s="79"/>
      <c r="O48" s="77">
        <v>40616</v>
      </c>
      <c r="P48" s="75" t="s">
        <v>720</v>
      </c>
      <c r="Q48" s="75"/>
      <c r="R48" s="75" t="s">
        <v>1613</v>
      </c>
      <c r="S48" s="75"/>
      <c r="T48" s="75" t="s">
        <v>106</v>
      </c>
      <c r="U48" s="75" t="s">
        <v>607</v>
      </c>
      <c r="V48" s="75"/>
      <c r="W48" s="75" t="s">
        <v>108</v>
      </c>
      <c r="X48" s="75">
        <v>1</v>
      </c>
      <c r="Y48" s="75"/>
      <c r="Z48" s="75">
        <v>0.08</v>
      </c>
      <c r="AA48" s="75">
        <v>7.0000000000000007E-2</v>
      </c>
      <c r="AB48" s="75"/>
      <c r="AC48" s="29"/>
      <c r="AD48" s="75"/>
      <c r="AE48" s="77"/>
      <c r="AF48" s="77"/>
      <c r="AG48" s="75"/>
      <c r="AH48" s="75"/>
      <c r="AI48" s="75"/>
      <c r="AJ48" s="75"/>
      <c r="AK48" s="75"/>
      <c r="AL48" s="75"/>
      <c r="AM48" s="75"/>
      <c r="AN48" s="75"/>
      <c r="AO48" s="75"/>
      <c r="AP48" s="75"/>
      <c r="AQ48" s="75"/>
      <c r="AR48" s="75"/>
      <c r="AS48" s="75"/>
      <c r="AT48" s="75"/>
    </row>
    <row r="49" spans="1:46" x14ac:dyDescent="0.25">
      <c r="A49" s="189" t="s">
        <v>500</v>
      </c>
      <c r="B49" s="190" t="s">
        <v>1193</v>
      </c>
      <c r="C49" s="190" t="s">
        <v>1233</v>
      </c>
      <c r="D49" s="190">
        <v>64</v>
      </c>
      <c r="E49" s="190"/>
      <c r="F49" s="190" t="s">
        <v>110</v>
      </c>
      <c r="G49" s="190" t="s">
        <v>469</v>
      </c>
      <c r="H49" s="190" t="s">
        <v>560</v>
      </c>
      <c r="I49" s="190" t="s">
        <v>108</v>
      </c>
      <c r="J49" s="190">
        <v>41</v>
      </c>
      <c r="K49" s="190" t="s">
        <v>707</v>
      </c>
      <c r="L49" s="190"/>
      <c r="M49" s="428"/>
      <c r="N49" s="79"/>
      <c r="O49" s="77">
        <v>40617</v>
      </c>
      <c r="P49" s="75" t="s">
        <v>721</v>
      </c>
      <c r="Q49" s="75"/>
      <c r="R49" s="75" t="s">
        <v>1613</v>
      </c>
      <c r="S49" s="75"/>
      <c r="T49" s="75" t="s">
        <v>106</v>
      </c>
      <c r="U49" s="75" t="s">
        <v>608</v>
      </c>
      <c r="V49" s="75"/>
      <c r="W49" s="75" t="s">
        <v>108</v>
      </c>
      <c r="X49" s="75">
        <v>2</v>
      </c>
      <c r="Y49" s="75"/>
      <c r="Z49" s="75">
        <v>0.08</v>
      </c>
      <c r="AA49" s="75">
        <v>7.0000000000000007E-2</v>
      </c>
      <c r="AB49" s="75"/>
      <c r="AC49" s="29"/>
      <c r="AD49" s="75"/>
      <c r="AE49" s="77"/>
      <c r="AF49" s="75"/>
      <c r="AG49" s="75"/>
      <c r="AH49" s="75"/>
      <c r="AI49" s="75"/>
      <c r="AJ49" s="75"/>
      <c r="AK49" s="75"/>
      <c r="AL49" s="75"/>
      <c r="AM49" s="75"/>
      <c r="AN49" s="75"/>
      <c r="AO49" s="75"/>
      <c r="AP49" s="75"/>
      <c r="AQ49" s="75"/>
      <c r="AR49" s="75"/>
      <c r="AS49" s="75"/>
      <c r="AT49" s="75"/>
    </row>
    <row r="50" spans="1:46" x14ac:dyDescent="0.25">
      <c r="A50" s="189" t="s">
        <v>500</v>
      </c>
      <c r="B50" s="190" t="s">
        <v>503</v>
      </c>
      <c r="C50" s="190" t="s">
        <v>1229</v>
      </c>
      <c r="D50" s="190">
        <v>23</v>
      </c>
      <c r="E50" s="190"/>
      <c r="F50" s="190" t="s">
        <v>110</v>
      </c>
      <c r="G50" s="190" t="s">
        <v>557</v>
      </c>
      <c r="H50" s="190" t="s">
        <v>472</v>
      </c>
      <c r="I50" s="190" t="s">
        <v>108</v>
      </c>
      <c r="J50" s="190">
        <v>42</v>
      </c>
      <c r="K50" s="190" t="s">
        <v>707</v>
      </c>
      <c r="L50" s="190"/>
      <c r="M50" s="428"/>
      <c r="N50" s="79"/>
      <c r="O50" s="77"/>
      <c r="P50" s="75"/>
      <c r="Q50" s="75"/>
      <c r="R50" s="75"/>
      <c r="S50" s="75"/>
      <c r="T50" s="75"/>
      <c r="U50" s="75"/>
      <c r="V50" s="75"/>
      <c r="W50" s="75"/>
      <c r="X50" s="75"/>
      <c r="Y50" s="75"/>
      <c r="Z50" s="75"/>
      <c r="AA50" s="75"/>
      <c r="AB50" s="75"/>
      <c r="AC50" s="29"/>
      <c r="AD50" s="75"/>
      <c r="AE50" s="77" t="s">
        <v>92</v>
      </c>
      <c r="AF50" s="77" t="s">
        <v>775</v>
      </c>
      <c r="AG50" s="75" t="s">
        <v>645</v>
      </c>
      <c r="AH50" s="75" t="s">
        <v>646</v>
      </c>
      <c r="AI50" t="s">
        <v>790</v>
      </c>
      <c r="AJ50" s="75" t="s">
        <v>100</v>
      </c>
      <c r="AK50" s="75" t="s">
        <v>94</v>
      </c>
      <c r="AL50" s="75" t="s">
        <v>470</v>
      </c>
      <c r="AM50" s="75" t="s">
        <v>471</v>
      </c>
      <c r="AN50" s="75" t="s">
        <v>614</v>
      </c>
      <c r="AO50" s="75" t="s">
        <v>475</v>
      </c>
      <c r="AP50" s="75" t="s">
        <v>613</v>
      </c>
      <c r="AQ50" s="75" t="s">
        <v>460</v>
      </c>
      <c r="AR50" t="s">
        <v>837</v>
      </c>
      <c r="AS50" s="75" t="s">
        <v>612</v>
      </c>
      <c r="AT50" s="75"/>
    </row>
    <row r="51" spans="1:46" x14ac:dyDescent="0.25">
      <c r="A51" s="189" t="s">
        <v>500</v>
      </c>
      <c r="B51" s="190" t="s">
        <v>504</v>
      </c>
      <c r="C51" s="190" t="s">
        <v>1234</v>
      </c>
      <c r="D51" s="190">
        <v>46</v>
      </c>
      <c r="E51" s="190"/>
      <c r="F51" s="190" t="s">
        <v>110</v>
      </c>
      <c r="G51" s="190" t="s">
        <v>557</v>
      </c>
      <c r="H51" s="190" t="s">
        <v>556</v>
      </c>
      <c r="I51" s="190" t="s">
        <v>108</v>
      </c>
      <c r="J51" s="190">
        <v>43</v>
      </c>
      <c r="K51" s="190" t="s">
        <v>707</v>
      </c>
      <c r="L51" s="190"/>
      <c r="M51" s="428"/>
      <c r="N51" s="79"/>
      <c r="O51" s="77"/>
      <c r="P51" s="75"/>
      <c r="Q51" s="75"/>
      <c r="R51" s="75"/>
      <c r="S51" s="75"/>
      <c r="T51" s="75"/>
      <c r="U51" s="75"/>
      <c r="V51" s="75"/>
      <c r="W51" s="75"/>
      <c r="X51" s="75"/>
      <c r="Y51" s="75"/>
      <c r="Z51" s="75"/>
      <c r="AA51" s="75"/>
      <c r="AB51" s="75"/>
      <c r="AC51" s="29"/>
      <c r="AD51" s="75"/>
      <c r="AE51" s="77">
        <v>4060201</v>
      </c>
      <c r="AF51" s="77" t="s">
        <v>773</v>
      </c>
      <c r="AG51" t="s">
        <v>792</v>
      </c>
      <c r="AH51" s="75"/>
      <c r="AI51" s="75"/>
      <c r="AJ51" s="75">
        <v>10</v>
      </c>
      <c r="AK51" s="75"/>
      <c r="AL51" s="75"/>
      <c r="AM51" s="75"/>
      <c r="AN51" s="75"/>
      <c r="AO51" s="75">
        <v>1</v>
      </c>
      <c r="AP51" s="75" t="s">
        <v>105</v>
      </c>
      <c r="AQ51" s="77"/>
      <c r="AR51" t="s">
        <v>722</v>
      </c>
      <c r="AS51" s="75" t="s">
        <v>457</v>
      </c>
      <c r="AT51" s="75"/>
    </row>
    <row r="52" spans="1:46" x14ac:dyDescent="0.25">
      <c r="A52" s="189" t="s">
        <v>500</v>
      </c>
      <c r="B52" s="190" t="s">
        <v>1194</v>
      </c>
      <c r="C52" s="190" t="s">
        <v>1230</v>
      </c>
      <c r="D52" s="190">
        <v>69</v>
      </c>
      <c r="E52" s="190"/>
      <c r="F52" s="190" t="s">
        <v>110</v>
      </c>
      <c r="G52" s="190" t="s">
        <v>557</v>
      </c>
      <c r="H52" s="190" t="s">
        <v>559</v>
      </c>
      <c r="I52" s="190" t="s">
        <v>108</v>
      </c>
      <c r="J52" s="190">
        <v>44</v>
      </c>
      <c r="K52" s="190" t="s">
        <v>707</v>
      </c>
      <c r="L52" s="190"/>
      <c r="M52" s="428"/>
      <c r="N52" s="79"/>
      <c r="O52" s="77"/>
      <c r="P52" s="75"/>
      <c r="Q52" s="75"/>
      <c r="R52" s="75"/>
      <c r="S52" s="75"/>
      <c r="T52" s="75"/>
      <c r="U52" s="75"/>
      <c r="V52" s="75"/>
      <c r="W52" s="75"/>
      <c r="X52" s="75"/>
      <c r="Y52" s="75"/>
      <c r="Z52" s="75"/>
      <c r="AA52" s="75"/>
      <c r="AB52" s="75"/>
      <c r="AC52" s="29"/>
      <c r="AD52" s="75"/>
      <c r="AE52" s="77">
        <v>4060101</v>
      </c>
      <c r="AF52" s="77" t="s">
        <v>773</v>
      </c>
      <c r="AG52" t="s">
        <v>794</v>
      </c>
      <c r="AH52" s="75"/>
      <c r="AI52" s="75"/>
      <c r="AJ52" s="75">
        <v>10</v>
      </c>
      <c r="AK52" s="75"/>
      <c r="AL52" s="75"/>
      <c r="AM52" s="75"/>
      <c r="AN52" s="75"/>
      <c r="AO52" s="75">
        <v>2</v>
      </c>
      <c r="AP52" s="75" t="s">
        <v>105</v>
      </c>
      <c r="AQ52" s="77"/>
      <c r="AR52" t="s">
        <v>722</v>
      </c>
      <c r="AS52" s="75" t="s">
        <v>457</v>
      </c>
      <c r="AT52" s="75"/>
    </row>
    <row r="53" spans="1:46" x14ac:dyDescent="0.25">
      <c r="A53" s="189" t="s">
        <v>500</v>
      </c>
      <c r="B53" s="190" t="s">
        <v>1195</v>
      </c>
      <c r="C53" s="190" t="s">
        <v>1235</v>
      </c>
      <c r="D53" s="190">
        <v>92</v>
      </c>
      <c r="E53" s="190"/>
      <c r="F53" s="190" t="s">
        <v>110</v>
      </c>
      <c r="G53" s="190" t="s">
        <v>557</v>
      </c>
      <c r="H53" s="190" t="s">
        <v>560</v>
      </c>
      <c r="I53" s="190" t="s">
        <v>108</v>
      </c>
      <c r="J53" s="190">
        <v>45</v>
      </c>
      <c r="K53" s="190" t="s">
        <v>707</v>
      </c>
      <c r="L53" s="190"/>
      <c r="M53" s="428"/>
      <c r="N53" s="79"/>
      <c r="O53" s="77"/>
      <c r="P53" s="75"/>
      <c r="Q53" s="75"/>
      <c r="R53" s="75"/>
      <c r="S53" s="75"/>
      <c r="T53" s="75"/>
      <c r="U53" s="75"/>
      <c r="V53" s="75"/>
      <c r="W53" s="75"/>
      <c r="X53" s="75"/>
      <c r="Y53" s="75"/>
      <c r="Z53" s="75"/>
      <c r="AA53" s="75"/>
      <c r="AB53" s="75"/>
      <c r="AC53" s="29"/>
      <c r="AD53" s="75"/>
      <c r="AE53" s="77">
        <v>4060211</v>
      </c>
      <c r="AF53" s="77" t="s">
        <v>773</v>
      </c>
      <c r="AG53" t="s">
        <v>793</v>
      </c>
      <c r="AH53" s="75"/>
      <c r="AI53" s="75"/>
      <c r="AJ53" s="75">
        <v>10</v>
      </c>
      <c r="AK53" s="75"/>
      <c r="AL53" s="75"/>
      <c r="AM53" s="75"/>
      <c r="AN53" s="75"/>
      <c r="AO53" s="75">
        <v>3</v>
      </c>
      <c r="AP53" s="75" t="s">
        <v>105</v>
      </c>
      <c r="AQ53" s="77"/>
      <c r="AR53" t="s">
        <v>722</v>
      </c>
      <c r="AS53" s="75" t="s">
        <v>457</v>
      </c>
      <c r="AT53" s="75"/>
    </row>
    <row r="54" spans="1:46" x14ac:dyDescent="0.25">
      <c r="A54" s="189" t="s">
        <v>500</v>
      </c>
      <c r="B54" s="190" t="s">
        <v>505</v>
      </c>
      <c r="C54" s="190" t="s">
        <v>135</v>
      </c>
      <c r="D54" s="190">
        <v>32</v>
      </c>
      <c r="E54" s="190"/>
      <c r="F54" s="190" t="s">
        <v>110</v>
      </c>
      <c r="G54" s="190" t="s">
        <v>558</v>
      </c>
      <c r="H54" s="190" t="s">
        <v>472</v>
      </c>
      <c r="I54" s="190" t="s">
        <v>108</v>
      </c>
      <c r="J54" s="190">
        <v>46</v>
      </c>
      <c r="K54" s="190" t="s">
        <v>707</v>
      </c>
      <c r="L54" s="190"/>
      <c r="M54" s="428"/>
      <c r="N54" s="79"/>
      <c r="O54" s="77"/>
      <c r="P54" s="75"/>
      <c r="Q54" s="75"/>
      <c r="R54" s="75"/>
      <c r="S54" s="75"/>
      <c r="T54" s="75"/>
      <c r="U54" s="75"/>
      <c r="V54" s="75"/>
      <c r="W54" s="75"/>
      <c r="X54" s="75"/>
      <c r="Y54" s="75"/>
      <c r="Z54" s="75"/>
      <c r="AA54" s="75"/>
      <c r="AB54" s="75"/>
      <c r="AC54" s="29"/>
      <c r="AD54" s="75"/>
      <c r="AE54" s="77">
        <v>4060111</v>
      </c>
      <c r="AF54" s="77" t="s">
        <v>773</v>
      </c>
      <c r="AG54" t="s">
        <v>795</v>
      </c>
      <c r="AH54" s="75"/>
      <c r="AI54" s="75"/>
      <c r="AJ54" s="75">
        <v>10</v>
      </c>
      <c r="AK54" s="75"/>
      <c r="AL54" s="75"/>
      <c r="AM54" s="75"/>
      <c r="AN54" s="75"/>
      <c r="AO54" s="75">
        <v>4</v>
      </c>
      <c r="AP54" s="75" t="s">
        <v>105</v>
      </c>
      <c r="AQ54" s="77"/>
      <c r="AR54" t="s">
        <v>722</v>
      </c>
      <c r="AS54" s="75" t="s">
        <v>457</v>
      </c>
      <c r="AT54" s="75"/>
    </row>
    <row r="55" spans="1:46" x14ac:dyDescent="0.25">
      <c r="A55" s="189" t="s">
        <v>500</v>
      </c>
      <c r="B55" s="190" t="s">
        <v>506</v>
      </c>
      <c r="C55" s="190" t="s">
        <v>1231</v>
      </c>
      <c r="D55" s="190">
        <v>59</v>
      </c>
      <c r="E55" s="190"/>
      <c r="F55" s="190" t="s">
        <v>110</v>
      </c>
      <c r="G55" s="190" t="s">
        <v>558</v>
      </c>
      <c r="H55" s="190" t="s">
        <v>556</v>
      </c>
      <c r="I55" s="190" t="s">
        <v>108</v>
      </c>
      <c r="J55" s="190">
        <v>47</v>
      </c>
      <c r="K55" s="190" t="s">
        <v>707</v>
      </c>
      <c r="L55" s="190"/>
      <c r="M55" s="428"/>
      <c r="N55" s="79"/>
      <c r="O55" s="77"/>
      <c r="P55" s="75"/>
      <c r="Q55" s="75"/>
      <c r="R55" s="75"/>
      <c r="S55" s="75"/>
      <c r="T55" s="75"/>
      <c r="U55" s="75"/>
      <c r="V55" s="75"/>
      <c r="W55" s="75"/>
      <c r="X55" s="75"/>
      <c r="Y55" s="75"/>
      <c r="Z55" s="75"/>
      <c r="AA55" s="75"/>
      <c r="AB55" s="75"/>
      <c r="AC55" s="29"/>
      <c r="AD55" s="75"/>
      <c r="AE55" s="77">
        <v>4040201</v>
      </c>
      <c r="AF55" s="77" t="s">
        <v>773</v>
      </c>
      <c r="AG55" t="s">
        <v>797</v>
      </c>
      <c r="AH55" s="75"/>
      <c r="AI55" s="75"/>
      <c r="AJ55" s="75"/>
      <c r="AK55" s="75"/>
      <c r="AL55" s="75"/>
      <c r="AM55" s="75"/>
      <c r="AN55" s="75"/>
      <c r="AO55" s="75">
        <v>5</v>
      </c>
      <c r="AP55" s="75"/>
      <c r="AQ55" s="77"/>
      <c r="AR55" t="s">
        <v>722</v>
      </c>
      <c r="AS55" s="75" t="s">
        <v>457</v>
      </c>
      <c r="AT55" s="75"/>
    </row>
    <row r="56" spans="1:46" x14ac:dyDescent="0.25">
      <c r="A56" s="189" t="s">
        <v>500</v>
      </c>
      <c r="B56" s="190" t="s">
        <v>507</v>
      </c>
      <c r="C56" s="190" t="s">
        <v>137</v>
      </c>
      <c r="D56" s="190">
        <v>88</v>
      </c>
      <c r="E56" s="190"/>
      <c r="F56" s="190" t="s">
        <v>110</v>
      </c>
      <c r="G56" s="190" t="s">
        <v>558</v>
      </c>
      <c r="H56" s="190" t="s">
        <v>559</v>
      </c>
      <c r="I56" s="190" t="s">
        <v>108</v>
      </c>
      <c r="J56" s="190">
        <v>48</v>
      </c>
      <c r="K56" s="190" t="s">
        <v>707</v>
      </c>
      <c r="L56" s="190"/>
      <c r="M56" s="428"/>
      <c r="N56" s="79"/>
      <c r="O56" s="77"/>
      <c r="P56" s="75"/>
      <c r="Q56" s="75"/>
      <c r="R56" s="75"/>
      <c r="S56" s="75"/>
      <c r="T56" s="75"/>
      <c r="U56" s="75"/>
      <c r="V56" s="75"/>
      <c r="W56" s="75"/>
      <c r="X56" s="75"/>
      <c r="Y56" s="75"/>
      <c r="Z56" s="75"/>
      <c r="AA56" s="75"/>
      <c r="AB56" s="75"/>
      <c r="AC56" s="29"/>
      <c r="AD56" s="75"/>
      <c r="AE56" s="77">
        <v>4060200</v>
      </c>
      <c r="AF56" s="29" t="s">
        <v>789</v>
      </c>
      <c r="AG56" s="75" t="s">
        <v>624</v>
      </c>
      <c r="AH56" s="75"/>
      <c r="AI56" s="75"/>
      <c r="AJ56" s="75">
        <v>10</v>
      </c>
      <c r="AK56" s="75"/>
      <c r="AL56" s="75"/>
      <c r="AM56" s="75"/>
      <c r="AN56" s="75"/>
      <c r="AO56" s="75">
        <v>6</v>
      </c>
      <c r="AP56" s="75" t="s">
        <v>105</v>
      </c>
      <c r="AQ56" s="77"/>
      <c r="AR56" t="s">
        <v>86</v>
      </c>
      <c r="AS56" s="75" t="s">
        <v>457</v>
      </c>
      <c r="AT56" s="75"/>
    </row>
    <row r="57" spans="1:46" x14ac:dyDescent="0.25">
      <c r="A57" s="189" t="s">
        <v>500</v>
      </c>
      <c r="B57" s="190" t="s">
        <v>508</v>
      </c>
      <c r="C57" s="190" t="s">
        <v>138</v>
      </c>
      <c r="D57" s="190">
        <v>114</v>
      </c>
      <c r="E57" s="190"/>
      <c r="F57" s="190" t="s">
        <v>110</v>
      </c>
      <c r="G57" s="190" t="s">
        <v>558</v>
      </c>
      <c r="H57" s="190" t="s">
        <v>560</v>
      </c>
      <c r="I57" s="190" t="s">
        <v>108</v>
      </c>
      <c r="J57" s="190">
        <v>49</v>
      </c>
      <c r="K57" s="190" t="s">
        <v>707</v>
      </c>
      <c r="L57" s="190"/>
      <c r="M57" s="428"/>
      <c r="N57" s="79"/>
      <c r="O57" s="77"/>
      <c r="P57" s="75"/>
      <c r="Q57" s="75"/>
      <c r="R57" s="75"/>
      <c r="S57" s="75"/>
      <c r="T57" s="75"/>
      <c r="U57" s="75"/>
      <c r="V57" s="75"/>
      <c r="W57" s="75"/>
      <c r="X57" s="75"/>
      <c r="Y57" s="75"/>
      <c r="Z57" s="75"/>
      <c r="AA57" s="75"/>
      <c r="AB57" s="75"/>
      <c r="AC57" s="29"/>
      <c r="AD57" s="75"/>
      <c r="AE57" s="77">
        <v>4060100</v>
      </c>
      <c r="AF57" s="29" t="s">
        <v>789</v>
      </c>
      <c r="AG57" s="75" t="s">
        <v>626</v>
      </c>
      <c r="AH57" s="75"/>
      <c r="AI57" s="75"/>
      <c r="AJ57" s="75">
        <v>10</v>
      </c>
      <c r="AK57" s="75"/>
      <c r="AL57" s="75"/>
      <c r="AM57" s="75"/>
      <c r="AN57" s="75"/>
      <c r="AO57" s="75">
        <v>7</v>
      </c>
      <c r="AP57" s="75" t="s">
        <v>105</v>
      </c>
      <c r="AQ57" s="77"/>
      <c r="AR57" t="s">
        <v>86</v>
      </c>
      <c r="AS57" s="75" t="s">
        <v>457</v>
      </c>
      <c r="AT57" s="75"/>
    </row>
    <row r="58" spans="1:46" x14ac:dyDescent="0.25">
      <c r="A58" s="189" t="s">
        <v>500</v>
      </c>
      <c r="B58" s="190" t="s">
        <v>1196</v>
      </c>
      <c r="C58" s="190" t="s">
        <v>1127</v>
      </c>
      <c r="D58" s="190">
        <v>175</v>
      </c>
      <c r="E58" s="190"/>
      <c r="F58" s="190" t="s">
        <v>110</v>
      </c>
      <c r="G58" s="190" t="s">
        <v>558</v>
      </c>
      <c r="H58" s="190" t="s">
        <v>566</v>
      </c>
      <c r="I58" s="190" t="s">
        <v>108</v>
      </c>
      <c r="J58" s="190">
        <v>50</v>
      </c>
      <c r="K58" s="190" t="s">
        <v>707</v>
      </c>
      <c r="L58" s="190"/>
      <c r="M58" s="428"/>
      <c r="N58" s="79"/>
      <c r="O58" s="77"/>
      <c r="P58" s="75"/>
      <c r="Q58" s="75"/>
      <c r="R58" s="75"/>
      <c r="S58" s="75"/>
      <c r="T58" s="75"/>
      <c r="U58" s="75"/>
      <c r="V58" s="75"/>
      <c r="W58" s="75"/>
      <c r="X58" s="75"/>
      <c r="Y58" s="75"/>
      <c r="Z58" s="75"/>
      <c r="AA58" s="75"/>
      <c r="AB58" s="75"/>
      <c r="AC58" s="29"/>
      <c r="AD58" s="75"/>
      <c r="AE58" s="77">
        <v>4060210</v>
      </c>
      <c r="AF58" s="29" t="s">
        <v>789</v>
      </c>
      <c r="AG58" s="75" t="s">
        <v>625</v>
      </c>
      <c r="AH58" s="75"/>
      <c r="AI58" s="75"/>
      <c r="AJ58" s="75">
        <v>10</v>
      </c>
      <c r="AK58" s="75"/>
      <c r="AL58" s="75"/>
      <c r="AM58" s="75"/>
      <c r="AN58" s="75"/>
      <c r="AO58" s="75">
        <v>8</v>
      </c>
      <c r="AP58" s="75" t="s">
        <v>105</v>
      </c>
      <c r="AQ58" s="77"/>
      <c r="AR58" t="s">
        <v>86</v>
      </c>
      <c r="AS58" s="75" t="s">
        <v>457</v>
      </c>
      <c r="AT58" s="75"/>
    </row>
    <row r="59" spans="1:46" x14ac:dyDescent="0.25">
      <c r="A59" s="189" t="s">
        <v>500</v>
      </c>
      <c r="B59" s="190" t="s">
        <v>1197</v>
      </c>
      <c r="C59" s="190" t="s">
        <v>1180</v>
      </c>
      <c r="D59" s="190">
        <v>221</v>
      </c>
      <c r="E59" s="190"/>
      <c r="F59" s="190" t="s">
        <v>110</v>
      </c>
      <c r="G59" s="190" t="s">
        <v>558</v>
      </c>
      <c r="H59" s="190" t="s">
        <v>566</v>
      </c>
      <c r="I59" s="190" t="s">
        <v>108</v>
      </c>
      <c r="J59" s="190">
        <v>51</v>
      </c>
      <c r="K59" s="190" t="s">
        <v>706</v>
      </c>
      <c r="L59" s="190"/>
      <c r="M59" s="428"/>
      <c r="O59" s="77"/>
      <c r="P59" s="75"/>
      <c r="Q59" s="75"/>
      <c r="R59" s="75"/>
      <c r="S59" s="75"/>
      <c r="T59" s="75"/>
      <c r="U59" s="75"/>
      <c r="V59" s="75"/>
      <c r="W59" s="75"/>
      <c r="X59" s="75"/>
      <c r="Y59" s="75"/>
      <c r="Z59" s="75"/>
      <c r="AA59" s="75"/>
      <c r="AB59" s="75"/>
      <c r="AC59" s="29"/>
      <c r="AD59" s="75"/>
      <c r="AE59" s="77">
        <v>4060110</v>
      </c>
      <c r="AF59" s="29" t="s">
        <v>789</v>
      </c>
      <c r="AG59" s="75" t="s">
        <v>627</v>
      </c>
      <c r="AH59" s="75"/>
      <c r="AI59" s="75"/>
      <c r="AJ59" s="75">
        <v>10</v>
      </c>
      <c r="AK59" s="75"/>
      <c r="AL59" s="75"/>
      <c r="AM59" s="75"/>
      <c r="AN59" s="75"/>
      <c r="AO59" s="75">
        <v>9</v>
      </c>
      <c r="AP59" s="75" t="s">
        <v>105</v>
      </c>
      <c r="AQ59" s="77"/>
      <c r="AR59" t="s">
        <v>86</v>
      </c>
      <c r="AS59" s="75" t="s">
        <v>457</v>
      </c>
      <c r="AT59" s="75"/>
    </row>
    <row r="60" spans="1:46" x14ac:dyDescent="0.25">
      <c r="A60" s="189" t="s">
        <v>500</v>
      </c>
      <c r="B60" s="190" t="s">
        <v>1198</v>
      </c>
      <c r="C60" s="190" t="s">
        <v>1237</v>
      </c>
      <c r="D60" s="190">
        <v>292</v>
      </c>
      <c r="E60" s="190"/>
      <c r="F60" s="190" t="s">
        <v>110</v>
      </c>
      <c r="G60" s="190" t="s">
        <v>558</v>
      </c>
      <c r="H60" s="190" t="s">
        <v>567</v>
      </c>
      <c r="I60" s="190" t="s">
        <v>108</v>
      </c>
      <c r="J60" s="190">
        <v>52</v>
      </c>
      <c r="K60" s="190" t="s">
        <v>706</v>
      </c>
      <c r="L60" s="190"/>
      <c r="M60" s="428"/>
      <c r="O60" s="77"/>
      <c r="P60" s="75"/>
      <c r="Q60" s="75"/>
      <c r="R60" s="75"/>
      <c r="S60" s="75"/>
      <c r="T60" s="75"/>
      <c r="U60" s="75"/>
      <c r="V60" s="75"/>
      <c r="W60" s="75"/>
      <c r="X60" s="75"/>
      <c r="Y60" s="75"/>
      <c r="Z60" s="75"/>
      <c r="AA60" s="75"/>
      <c r="AB60" s="75"/>
      <c r="AC60" s="29"/>
      <c r="AD60" s="75"/>
      <c r="AE60" s="77">
        <v>4040200</v>
      </c>
      <c r="AF60" s="29" t="s">
        <v>789</v>
      </c>
      <c r="AG60" t="s">
        <v>796</v>
      </c>
      <c r="AH60" s="75"/>
      <c r="AI60" s="75"/>
      <c r="AJ60" s="75"/>
      <c r="AK60" s="75"/>
      <c r="AL60" s="75"/>
      <c r="AM60" s="75"/>
      <c r="AN60" s="75"/>
      <c r="AO60" s="75">
        <v>10</v>
      </c>
      <c r="AP60" s="75"/>
      <c r="AQ60" s="77"/>
      <c r="AR60" t="s">
        <v>86</v>
      </c>
      <c r="AS60" s="75" t="s">
        <v>457</v>
      </c>
      <c r="AT60" s="75"/>
    </row>
    <row r="61" spans="1:46" x14ac:dyDescent="0.25">
      <c r="A61" s="57" t="s">
        <v>500</v>
      </c>
      <c r="B61" t="s">
        <v>1276</v>
      </c>
      <c r="C61" t="s">
        <v>1280</v>
      </c>
      <c r="D61">
        <v>39</v>
      </c>
      <c r="F61" t="s">
        <v>110</v>
      </c>
      <c r="G61" t="s">
        <v>1258</v>
      </c>
      <c r="H61" s="190" t="s">
        <v>472</v>
      </c>
      <c r="I61" s="190" t="s">
        <v>108</v>
      </c>
      <c r="J61" s="190">
        <v>53</v>
      </c>
      <c r="K61" t="s">
        <v>1207</v>
      </c>
      <c r="M61" s="428"/>
      <c r="O61" s="77"/>
      <c r="P61" s="75"/>
      <c r="Q61" s="75"/>
      <c r="R61" s="75"/>
      <c r="S61" s="75"/>
      <c r="T61" s="75"/>
      <c r="U61" s="75"/>
      <c r="V61" s="75"/>
      <c r="W61" s="75"/>
      <c r="X61" s="75"/>
      <c r="Y61" s="75"/>
      <c r="Z61" s="75"/>
      <c r="AA61" s="75"/>
      <c r="AB61" s="75"/>
      <c r="AC61" s="29"/>
      <c r="AD61" s="75"/>
      <c r="AE61" s="77"/>
      <c r="AF61" s="75"/>
      <c r="AG61" s="75"/>
      <c r="AH61" s="75"/>
      <c r="AI61" s="75"/>
      <c r="AJ61" s="75"/>
      <c r="AK61" s="75"/>
      <c r="AL61" s="75"/>
      <c r="AM61" s="75"/>
      <c r="AN61" s="75"/>
      <c r="AO61" s="75"/>
      <c r="AP61" s="75"/>
      <c r="AQ61" s="75"/>
      <c r="AR61" s="75"/>
      <c r="AS61" s="75"/>
      <c r="AT61" s="75"/>
    </row>
    <row r="62" spans="1:46" x14ac:dyDescent="0.25">
      <c r="A62" s="57" t="s">
        <v>500</v>
      </c>
      <c r="B62" t="s">
        <v>1277</v>
      </c>
      <c r="C62" t="s">
        <v>1281</v>
      </c>
      <c r="D62">
        <v>75</v>
      </c>
      <c r="F62" t="s">
        <v>110</v>
      </c>
      <c r="G62" t="s">
        <v>1258</v>
      </c>
      <c r="H62" s="190" t="s">
        <v>556</v>
      </c>
      <c r="I62" s="190" t="s">
        <v>108</v>
      </c>
      <c r="J62" s="190">
        <v>54</v>
      </c>
      <c r="K62" t="s">
        <v>1207</v>
      </c>
      <c r="M62" s="428"/>
      <c r="O62" s="77"/>
      <c r="P62" s="75"/>
      <c r="Q62" s="75"/>
      <c r="R62" s="75"/>
      <c r="S62" s="75"/>
      <c r="T62" s="75"/>
      <c r="U62" s="75"/>
      <c r="V62" s="75"/>
      <c r="W62" s="75"/>
      <c r="X62" s="75"/>
      <c r="Y62" s="75"/>
      <c r="Z62" s="75"/>
      <c r="AA62" s="75"/>
      <c r="AB62" s="75"/>
      <c r="AC62" s="29"/>
      <c r="AD62" s="75"/>
      <c r="AE62" s="77" t="s">
        <v>92</v>
      </c>
      <c r="AF62" s="77" t="s">
        <v>775</v>
      </c>
      <c r="AG62" s="75" t="s">
        <v>645</v>
      </c>
      <c r="AH62" s="75" t="s">
        <v>646</v>
      </c>
      <c r="AI62" t="s">
        <v>790</v>
      </c>
      <c r="AJ62" s="75" t="s">
        <v>100</v>
      </c>
      <c r="AK62" s="75" t="s">
        <v>94</v>
      </c>
      <c r="AL62" s="75" t="s">
        <v>470</v>
      </c>
      <c r="AM62" s="75" t="s">
        <v>471</v>
      </c>
      <c r="AN62" s="75" t="s">
        <v>614</v>
      </c>
      <c r="AO62" s="75" t="s">
        <v>475</v>
      </c>
      <c r="AP62" s="75" t="s">
        <v>613</v>
      </c>
      <c r="AQ62" s="75" t="s">
        <v>460</v>
      </c>
      <c r="AR62" t="s">
        <v>837</v>
      </c>
      <c r="AS62" s="75" t="s">
        <v>612</v>
      </c>
      <c r="AT62" s="75"/>
    </row>
    <row r="63" spans="1:46" x14ac:dyDescent="0.25">
      <c r="A63" s="57" t="s">
        <v>500</v>
      </c>
      <c r="B63" t="s">
        <v>1278</v>
      </c>
      <c r="C63" t="s">
        <v>1282</v>
      </c>
      <c r="D63">
        <v>107</v>
      </c>
      <c r="F63" t="s">
        <v>110</v>
      </c>
      <c r="G63" t="s">
        <v>1258</v>
      </c>
      <c r="H63" s="190" t="s">
        <v>559</v>
      </c>
      <c r="I63" s="190" t="s">
        <v>108</v>
      </c>
      <c r="J63" s="190">
        <v>55</v>
      </c>
      <c r="K63" t="s">
        <v>1207</v>
      </c>
      <c r="M63" s="428"/>
      <c r="O63" s="77"/>
      <c r="P63" s="75"/>
      <c r="Q63" s="75"/>
      <c r="R63" s="75"/>
      <c r="S63" s="75"/>
      <c r="T63" s="75"/>
      <c r="U63" s="75"/>
      <c r="V63" s="75"/>
      <c r="W63" s="75"/>
      <c r="X63" s="75"/>
      <c r="Y63" s="75"/>
      <c r="Z63" s="75"/>
      <c r="AA63" s="75"/>
      <c r="AB63" s="75"/>
      <c r="AC63" s="29"/>
      <c r="AD63" s="75"/>
      <c r="AE63" s="77">
        <v>4030101</v>
      </c>
      <c r="AF63" s="77" t="s">
        <v>773</v>
      </c>
      <c r="AG63" t="s">
        <v>798</v>
      </c>
      <c r="AH63" s="75"/>
      <c r="AI63" s="75"/>
      <c r="AJ63" s="75">
        <v>12</v>
      </c>
      <c r="AK63" s="75"/>
      <c r="AL63" s="75"/>
      <c r="AM63" s="75"/>
      <c r="AN63" s="75"/>
      <c r="AO63" s="75">
        <v>1</v>
      </c>
      <c r="AP63" s="75" t="s">
        <v>420</v>
      </c>
      <c r="AQ63" s="77"/>
      <c r="AR63" t="s">
        <v>722</v>
      </c>
      <c r="AS63" s="75" t="s">
        <v>628</v>
      </c>
      <c r="AT63" s="75"/>
    </row>
    <row r="64" spans="1:46" x14ac:dyDescent="0.25">
      <c r="A64" s="57" t="s">
        <v>500</v>
      </c>
      <c r="B64" t="s">
        <v>1279</v>
      </c>
      <c r="C64" t="s">
        <v>1283</v>
      </c>
      <c r="D64">
        <v>116</v>
      </c>
      <c r="F64" t="s">
        <v>110</v>
      </c>
      <c r="G64" t="s">
        <v>1258</v>
      </c>
      <c r="H64" s="190" t="s">
        <v>560</v>
      </c>
      <c r="I64" s="190" t="s">
        <v>108</v>
      </c>
      <c r="J64" s="190">
        <v>56</v>
      </c>
      <c r="K64" t="s">
        <v>1207</v>
      </c>
      <c r="M64" s="428"/>
      <c r="O64" s="77"/>
      <c r="P64" s="75"/>
      <c r="Q64" s="75"/>
      <c r="R64" s="75"/>
      <c r="S64" s="75"/>
      <c r="T64" s="75"/>
      <c r="U64" s="75"/>
      <c r="V64" s="75"/>
      <c r="W64" s="75"/>
      <c r="X64" s="75"/>
      <c r="Y64" s="75"/>
      <c r="Z64" s="75"/>
      <c r="AA64" s="75"/>
      <c r="AB64" s="75"/>
      <c r="AC64" s="29"/>
      <c r="AD64" s="75"/>
      <c r="AE64" s="77">
        <v>4030201</v>
      </c>
      <c r="AF64" s="77" t="s">
        <v>773</v>
      </c>
      <c r="AG64" t="s">
        <v>799</v>
      </c>
      <c r="AH64" s="75"/>
      <c r="AI64" s="75"/>
      <c r="AJ64" s="75">
        <v>12</v>
      </c>
      <c r="AK64" s="75"/>
      <c r="AL64" s="75"/>
      <c r="AM64" s="75"/>
      <c r="AN64" s="75"/>
      <c r="AO64" s="75">
        <v>2</v>
      </c>
      <c r="AP64" s="75" t="s">
        <v>420</v>
      </c>
      <c r="AQ64" s="77"/>
      <c r="AR64" t="s">
        <v>722</v>
      </c>
      <c r="AS64" s="75" t="s">
        <v>628</v>
      </c>
      <c r="AT64" s="75"/>
    </row>
    <row r="65" spans="1:46" x14ac:dyDescent="0.25">
      <c r="A65" s="192" t="s">
        <v>500</v>
      </c>
      <c r="B65" s="193" t="s">
        <v>1256</v>
      </c>
      <c r="C65" s="190" t="s">
        <v>1284</v>
      </c>
      <c r="D65" s="193">
        <v>50</v>
      </c>
      <c r="E65" s="193"/>
      <c r="F65" s="190" t="s">
        <v>110</v>
      </c>
      <c r="G65" s="193" t="s">
        <v>1255</v>
      </c>
      <c r="H65" s="193" t="s">
        <v>472</v>
      </c>
      <c r="I65" s="193" t="s">
        <v>108</v>
      </c>
      <c r="J65" s="190">
        <v>57</v>
      </c>
      <c r="K65" s="193" t="s">
        <v>1207</v>
      </c>
      <c r="L65" s="193"/>
      <c r="M65" s="428"/>
      <c r="O65" s="77"/>
      <c r="P65" s="75"/>
      <c r="Q65" s="75"/>
      <c r="R65" s="75"/>
      <c r="S65" s="75"/>
      <c r="T65" s="75"/>
      <c r="U65" s="75"/>
      <c r="V65" s="75"/>
      <c r="W65" s="75"/>
      <c r="X65" s="75"/>
      <c r="Y65" s="75"/>
      <c r="Z65" s="75"/>
      <c r="AA65" s="75"/>
      <c r="AB65" s="75"/>
      <c r="AC65" s="29"/>
      <c r="AD65" s="75"/>
      <c r="AE65" s="77">
        <v>4030301</v>
      </c>
      <c r="AF65" s="77" t="s">
        <v>773</v>
      </c>
      <c r="AG65" t="s">
        <v>800</v>
      </c>
      <c r="AH65" s="75"/>
      <c r="AI65" s="75"/>
      <c r="AJ65" s="75">
        <v>15</v>
      </c>
      <c r="AK65" s="75"/>
      <c r="AL65" s="75"/>
      <c r="AM65" s="75"/>
      <c r="AN65" s="75"/>
      <c r="AO65" s="75">
        <v>3</v>
      </c>
      <c r="AP65" s="75" t="s">
        <v>420</v>
      </c>
      <c r="AQ65" s="77"/>
      <c r="AR65" t="s">
        <v>722</v>
      </c>
      <c r="AS65" s="75" t="s">
        <v>628</v>
      </c>
      <c r="AT65" s="75"/>
    </row>
    <row r="66" spans="1:46" x14ac:dyDescent="0.25">
      <c r="A66" s="192" t="s">
        <v>500</v>
      </c>
      <c r="B66" s="193" t="s">
        <v>1257</v>
      </c>
      <c r="C66" s="190" t="s">
        <v>1285</v>
      </c>
      <c r="D66" s="193">
        <v>88</v>
      </c>
      <c r="E66" s="193"/>
      <c r="F66" s="190" t="s">
        <v>110</v>
      </c>
      <c r="G66" s="193" t="s">
        <v>1255</v>
      </c>
      <c r="H66" s="193" t="s">
        <v>556</v>
      </c>
      <c r="I66" s="193" t="s">
        <v>108</v>
      </c>
      <c r="J66" s="190">
        <v>58</v>
      </c>
      <c r="K66" s="193" t="s">
        <v>1207</v>
      </c>
      <c r="L66" s="193"/>
      <c r="M66" s="428"/>
      <c r="O66" s="77"/>
      <c r="P66" s="75"/>
      <c r="Q66" s="75"/>
      <c r="R66" s="75"/>
      <c r="S66" s="75"/>
      <c r="T66" s="75"/>
      <c r="U66" s="75"/>
      <c r="V66" s="75"/>
      <c r="W66" s="75"/>
      <c r="X66" s="75"/>
      <c r="Y66" s="75"/>
      <c r="Z66" s="75"/>
      <c r="AA66" s="75"/>
      <c r="AB66" s="75"/>
      <c r="AC66" s="29"/>
      <c r="AD66" s="75"/>
      <c r="AE66" s="77">
        <v>4030401</v>
      </c>
      <c r="AF66" s="77" t="s">
        <v>773</v>
      </c>
      <c r="AG66" t="s">
        <v>801</v>
      </c>
      <c r="AH66" s="75"/>
      <c r="AI66" s="75"/>
      <c r="AJ66" s="75">
        <v>12</v>
      </c>
      <c r="AK66" s="75"/>
      <c r="AL66" s="75"/>
      <c r="AM66" s="75"/>
      <c r="AN66" s="75"/>
      <c r="AO66" s="75">
        <v>4</v>
      </c>
      <c r="AP66" s="75" t="s">
        <v>420</v>
      </c>
      <c r="AQ66" s="77"/>
      <c r="AR66" t="s">
        <v>722</v>
      </c>
      <c r="AS66" s="75" t="s">
        <v>628</v>
      </c>
      <c r="AT66" s="75"/>
    </row>
    <row r="67" spans="1:46" x14ac:dyDescent="0.25">
      <c r="A67" s="189" t="s">
        <v>500</v>
      </c>
      <c r="B67" s="190" t="s">
        <v>509</v>
      </c>
      <c r="C67" s="190" t="s">
        <v>673</v>
      </c>
      <c r="D67" s="190">
        <v>62</v>
      </c>
      <c r="E67" s="190"/>
      <c r="F67" s="190" t="s">
        <v>110</v>
      </c>
      <c r="G67" s="190" t="s">
        <v>561</v>
      </c>
      <c r="H67" s="190" t="s">
        <v>472</v>
      </c>
      <c r="I67" s="190" t="s">
        <v>108</v>
      </c>
      <c r="J67" s="190">
        <v>59</v>
      </c>
      <c r="K67" s="190" t="s">
        <v>707</v>
      </c>
      <c r="L67" s="190"/>
      <c r="M67" s="428"/>
      <c r="O67" s="77"/>
      <c r="P67" s="75"/>
      <c r="Q67" s="75"/>
      <c r="R67" s="75"/>
      <c r="S67" s="75"/>
      <c r="T67" s="75"/>
      <c r="U67" s="75"/>
      <c r="V67" s="75"/>
      <c r="W67" s="75"/>
      <c r="X67" s="75"/>
      <c r="Y67" s="75"/>
      <c r="Z67" s="75"/>
      <c r="AA67" s="75"/>
      <c r="AB67" s="75"/>
      <c r="AC67" s="29"/>
      <c r="AD67" s="75"/>
      <c r="AE67" s="57" t="s">
        <v>1508</v>
      </c>
      <c r="AF67" s="77" t="s">
        <v>773</v>
      </c>
      <c r="AG67" t="s">
        <v>804</v>
      </c>
      <c r="AH67" s="75"/>
      <c r="AI67" s="75"/>
      <c r="AJ67" s="75">
        <v>12</v>
      </c>
      <c r="AK67" s="75"/>
      <c r="AL67" s="75"/>
      <c r="AM67" s="75"/>
      <c r="AN67" s="75"/>
      <c r="AO67" s="75">
        <v>5</v>
      </c>
      <c r="AP67" s="75" t="s">
        <v>420</v>
      </c>
      <c r="AQ67" s="77"/>
      <c r="AR67" t="s">
        <v>722</v>
      </c>
      <c r="AS67" s="75" t="s">
        <v>628</v>
      </c>
      <c r="AT67" s="75"/>
    </row>
    <row r="68" spans="1:46" x14ac:dyDescent="0.25">
      <c r="A68" s="189" t="s">
        <v>500</v>
      </c>
      <c r="B68" s="190" t="s">
        <v>510</v>
      </c>
      <c r="C68" s="190" t="s">
        <v>674</v>
      </c>
      <c r="D68" s="190">
        <v>124</v>
      </c>
      <c r="E68" s="190"/>
      <c r="F68" s="190" t="s">
        <v>110</v>
      </c>
      <c r="G68" s="190" t="s">
        <v>561</v>
      </c>
      <c r="H68" s="190" t="s">
        <v>556</v>
      </c>
      <c r="I68" s="190" t="s">
        <v>108</v>
      </c>
      <c r="J68" s="190">
        <v>60</v>
      </c>
      <c r="K68" s="190" t="s">
        <v>707</v>
      </c>
      <c r="L68" s="190"/>
      <c r="M68" s="428"/>
      <c r="O68" s="77"/>
      <c r="P68" s="75"/>
      <c r="Q68" s="75"/>
      <c r="R68" s="75"/>
      <c r="S68" s="75"/>
      <c r="T68" s="75"/>
      <c r="U68" s="75"/>
      <c r="V68" s="75"/>
      <c r="W68" s="75"/>
      <c r="X68" s="75"/>
      <c r="Y68" s="75"/>
      <c r="Z68" s="75"/>
      <c r="AA68" s="75"/>
      <c r="AB68" s="75"/>
      <c r="AC68" s="29"/>
      <c r="AD68" s="75"/>
      <c r="AE68" s="77">
        <v>4120101</v>
      </c>
      <c r="AF68" s="77" t="s">
        <v>773</v>
      </c>
      <c r="AG68" t="s">
        <v>802</v>
      </c>
      <c r="AH68" s="75"/>
      <c r="AI68" s="75"/>
      <c r="AJ68" s="75">
        <v>10</v>
      </c>
      <c r="AK68" s="75"/>
      <c r="AL68" s="75"/>
      <c r="AM68" s="75"/>
      <c r="AN68" s="75"/>
      <c r="AO68" s="75">
        <v>6</v>
      </c>
      <c r="AP68" s="75" t="s">
        <v>176</v>
      </c>
      <c r="AQ68" s="77"/>
      <c r="AR68" t="s">
        <v>722</v>
      </c>
      <c r="AS68" s="75" t="s">
        <v>628</v>
      </c>
      <c r="AT68" s="75"/>
    </row>
    <row r="69" spans="1:46" x14ac:dyDescent="0.25">
      <c r="A69" s="189" t="s">
        <v>500</v>
      </c>
      <c r="B69" s="190" t="s">
        <v>511</v>
      </c>
      <c r="C69" s="190" t="s">
        <v>675</v>
      </c>
      <c r="D69" s="190">
        <v>186</v>
      </c>
      <c r="E69" s="190"/>
      <c r="F69" s="190" t="s">
        <v>110</v>
      </c>
      <c r="G69" s="190" t="s">
        <v>561</v>
      </c>
      <c r="H69" s="190" t="s">
        <v>559</v>
      </c>
      <c r="I69" s="190" t="s">
        <v>108</v>
      </c>
      <c r="J69" s="190">
        <v>61</v>
      </c>
      <c r="K69" s="190" t="s">
        <v>707</v>
      </c>
      <c r="L69" s="190"/>
      <c r="M69" s="428"/>
      <c r="O69" s="77"/>
      <c r="P69" s="75"/>
      <c r="Q69" s="75"/>
      <c r="R69" s="75"/>
      <c r="S69" s="75"/>
      <c r="T69" s="75"/>
      <c r="U69" s="75"/>
      <c r="V69" s="75"/>
      <c r="W69" s="75"/>
      <c r="X69" s="75"/>
      <c r="Y69" s="75"/>
      <c r="Z69" s="75"/>
      <c r="AA69" s="75"/>
      <c r="AB69" s="75"/>
      <c r="AC69" s="29"/>
      <c r="AD69" s="75"/>
      <c r="AE69" s="77">
        <v>4120201</v>
      </c>
      <c r="AF69" s="77" t="s">
        <v>773</v>
      </c>
      <c r="AG69" t="s">
        <v>803</v>
      </c>
      <c r="AH69" s="75"/>
      <c r="AI69" s="75"/>
      <c r="AJ69" s="75">
        <v>15</v>
      </c>
      <c r="AK69" s="75"/>
      <c r="AL69" s="75"/>
      <c r="AM69" s="75"/>
      <c r="AN69" s="75"/>
      <c r="AO69" s="75">
        <v>7</v>
      </c>
      <c r="AP69" s="75" t="s">
        <v>176</v>
      </c>
      <c r="AQ69" s="77"/>
      <c r="AR69" t="s">
        <v>722</v>
      </c>
      <c r="AS69" s="75" t="s">
        <v>628</v>
      </c>
      <c r="AT69" s="75"/>
    </row>
    <row r="70" spans="1:46" x14ac:dyDescent="0.25">
      <c r="A70" s="189" t="s">
        <v>500</v>
      </c>
      <c r="B70" s="190" t="s">
        <v>512</v>
      </c>
      <c r="C70" s="190" t="s">
        <v>676</v>
      </c>
      <c r="D70" s="190">
        <v>248</v>
      </c>
      <c r="E70" s="190"/>
      <c r="F70" s="190" t="s">
        <v>110</v>
      </c>
      <c r="G70" s="190" t="s">
        <v>561</v>
      </c>
      <c r="H70" s="190" t="s">
        <v>560</v>
      </c>
      <c r="I70" s="190" t="s">
        <v>108</v>
      </c>
      <c r="J70" s="190">
        <v>62</v>
      </c>
      <c r="K70" s="190" t="s">
        <v>707</v>
      </c>
      <c r="L70" s="190"/>
      <c r="M70" s="428"/>
      <c r="O70" s="77"/>
      <c r="P70" s="75"/>
      <c r="Q70" s="75"/>
      <c r="R70" s="75"/>
      <c r="S70" s="75"/>
      <c r="T70" s="75"/>
      <c r="U70" s="75"/>
      <c r="V70" s="75"/>
      <c r="W70" s="75"/>
      <c r="X70" s="75"/>
      <c r="Y70" s="75"/>
      <c r="Z70" s="75"/>
      <c r="AA70" s="75"/>
      <c r="AB70" s="75"/>
      <c r="AC70" s="29"/>
      <c r="AD70" s="75"/>
      <c r="AE70" s="77" t="s">
        <v>1479</v>
      </c>
      <c r="AF70" s="77" t="s">
        <v>773</v>
      </c>
      <c r="AG70" t="s">
        <v>797</v>
      </c>
      <c r="AH70" s="75"/>
      <c r="AI70" s="75"/>
      <c r="AJ70" s="75"/>
      <c r="AK70" s="75"/>
      <c r="AL70" s="75"/>
      <c r="AM70" s="75"/>
      <c r="AN70" s="75"/>
      <c r="AO70" s="75">
        <v>8</v>
      </c>
      <c r="AP70" s="75"/>
      <c r="AQ70" s="77"/>
      <c r="AR70" t="s">
        <v>722</v>
      </c>
      <c r="AS70" s="75" t="s">
        <v>628</v>
      </c>
      <c r="AT70" s="75"/>
    </row>
    <row r="71" spans="1:46" x14ac:dyDescent="0.25">
      <c r="A71" s="189" t="s">
        <v>500</v>
      </c>
      <c r="B71" s="190" t="s">
        <v>1289</v>
      </c>
      <c r="C71" s="190" t="s">
        <v>1129</v>
      </c>
      <c r="D71" s="190">
        <v>328</v>
      </c>
      <c r="E71" s="190"/>
      <c r="F71" s="190" t="s">
        <v>110</v>
      </c>
      <c r="G71" s="190" t="s">
        <v>561</v>
      </c>
      <c r="H71" s="190" t="s">
        <v>1128</v>
      </c>
      <c r="I71" s="190" t="s">
        <v>108</v>
      </c>
      <c r="J71" s="190">
        <v>63</v>
      </c>
      <c r="K71" s="190" t="s">
        <v>707</v>
      </c>
      <c r="L71" s="190"/>
      <c r="M71" s="428"/>
      <c r="O71" s="77"/>
      <c r="P71" s="75"/>
      <c r="Q71" s="75"/>
      <c r="R71" s="75"/>
      <c r="S71" s="75"/>
      <c r="T71" s="75"/>
      <c r="U71" s="75"/>
      <c r="V71" s="75"/>
      <c r="W71" s="75"/>
      <c r="X71" s="75"/>
      <c r="Y71" s="75"/>
      <c r="Z71" s="75"/>
      <c r="AA71" s="75"/>
      <c r="AB71" s="75"/>
      <c r="AC71" s="29"/>
      <c r="AD71" s="75"/>
      <c r="AE71" s="77">
        <v>4030100</v>
      </c>
      <c r="AF71" s="29" t="s">
        <v>789</v>
      </c>
      <c r="AG71" t="s">
        <v>648</v>
      </c>
      <c r="AH71" s="75"/>
      <c r="AI71" s="75"/>
      <c r="AJ71" s="75">
        <v>12</v>
      </c>
      <c r="AK71" s="75"/>
      <c r="AL71" s="75"/>
      <c r="AM71" s="75"/>
      <c r="AN71" s="75"/>
      <c r="AO71" s="75">
        <v>9</v>
      </c>
      <c r="AP71" s="75" t="s">
        <v>420</v>
      </c>
      <c r="AQ71" s="77"/>
      <c r="AR71" t="s">
        <v>86</v>
      </c>
      <c r="AS71" s="75" t="s">
        <v>628</v>
      </c>
      <c r="AT71" s="75"/>
    </row>
    <row r="72" spans="1:46" x14ac:dyDescent="0.25">
      <c r="A72" s="189" t="s">
        <v>513</v>
      </c>
      <c r="B72" s="190" t="s">
        <v>514</v>
      </c>
      <c r="C72" s="190" t="s">
        <v>677</v>
      </c>
      <c r="D72" s="190">
        <v>85</v>
      </c>
      <c r="E72" s="190"/>
      <c r="F72" s="190" t="s">
        <v>565</v>
      </c>
      <c r="G72" s="190" t="s">
        <v>561</v>
      </c>
      <c r="H72" s="190" t="s">
        <v>472</v>
      </c>
      <c r="I72" s="190" t="s">
        <v>108</v>
      </c>
      <c r="J72" s="190">
        <v>64</v>
      </c>
      <c r="K72" s="190" t="s">
        <v>707</v>
      </c>
      <c r="L72" s="190"/>
      <c r="M72" s="428"/>
      <c r="O72" s="77"/>
      <c r="P72" s="75"/>
      <c r="Q72" s="75"/>
      <c r="R72" s="75"/>
      <c r="S72" s="75"/>
      <c r="T72" s="75"/>
      <c r="U72" s="75"/>
      <c r="V72" s="75"/>
      <c r="W72" s="75"/>
      <c r="X72" s="75"/>
      <c r="Y72" s="75"/>
      <c r="Z72" s="75"/>
      <c r="AA72" s="75"/>
      <c r="AB72" s="75"/>
      <c r="AC72" s="29"/>
      <c r="AD72" s="75"/>
      <c r="AE72" s="77">
        <v>4030200</v>
      </c>
      <c r="AF72" s="29" t="s">
        <v>789</v>
      </c>
      <c r="AG72" t="s">
        <v>649</v>
      </c>
      <c r="AH72" s="75"/>
      <c r="AI72" s="75"/>
      <c r="AJ72" s="75">
        <v>12</v>
      </c>
      <c r="AK72" s="75"/>
      <c r="AL72" s="75"/>
      <c r="AM72" s="75"/>
      <c r="AN72" s="75"/>
      <c r="AO72" s="75">
        <v>10</v>
      </c>
      <c r="AP72" s="75" t="s">
        <v>420</v>
      </c>
      <c r="AQ72" s="77"/>
      <c r="AR72" t="s">
        <v>86</v>
      </c>
      <c r="AS72" s="75" t="s">
        <v>628</v>
      </c>
      <c r="AT72" s="75"/>
    </row>
    <row r="73" spans="1:46" x14ac:dyDescent="0.25">
      <c r="A73" s="189" t="s">
        <v>513</v>
      </c>
      <c r="B73" s="190" t="s">
        <v>515</v>
      </c>
      <c r="C73" s="190" t="s">
        <v>678</v>
      </c>
      <c r="D73" s="190">
        <v>160</v>
      </c>
      <c r="E73" s="190"/>
      <c r="F73" s="190" t="s">
        <v>565</v>
      </c>
      <c r="G73" s="190" t="s">
        <v>561</v>
      </c>
      <c r="H73" s="190" t="s">
        <v>556</v>
      </c>
      <c r="I73" s="190" t="s">
        <v>108</v>
      </c>
      <c r="J73" s="190">
        <v>65</v>
      </c>
      <c r="K73" s="190" t="s">
        <v>707</v>
      </c>
      <c r="L73" s="190"/>
      <c r="M73" s="428"/>
      <c r="O73" s="77"/>
      <c r="P73" s="75"/>
      <c r="Q73" s="75"/>
      <c r="R73" s="75"/>
      <c r="S73" s="75"/>
      <c r="T73" s="75"/>
      <c r="U73" s="75"/>
      <c r="V73" s="75"/>
      <c r="W73" s="75"/>
      <c r="X73" s="75"/>
      <c r="Y73" s="75"/>
      <c r="Z73" s="75"/>
      <c r="AA73" s="75"/>
      <c r="AB73" s="75"/>
      <c r="AC73" s="29"/>
      <c r="AD73" s="75"/>
      <c r="AE73" s="77">
        <v>4030300</v>
      </c>
      <c r="AF73" s="29" t="s">
        <v>789</v>
      </c>
      <c r="AG73" t="s">
        <v>651</v>
      </c>
      <c r="AH73" s="75"/>
      <c r="AI73" s="75"/>
      <c r="AJ73" s="75">
        <v>15</v>
      </c>
      <c r="AK73" s="75"/>
      <c r="AL73" s="75"/>
      <c r="AM73" s="75"/>
      <c r="AN73" s="75"/>
      <c r="AO73" s="75">
        <v>11</v>
      </c>
      <c r="AP73" s="75" t="s">
        <v>420</v>
      </c>
      <c r="AQ73" s="77"/>
      <c r="AR73" t="s">
        <v>86</v>
      </c>
      <c r="AS73" s="75" t="s">
        <v>628</v>
      </c>
      <c r="AT73" s="75"/>
    </row>
    <row r="74" spans="1:46" x14ac:dyDescent="0.25">
      <c r="A74" s="189" t="s">
        <v>513</v>
      </c>
      <c r="B74" s="190" t="s">
        <v>516</v>
      </c>
      <c r="C74" s="190" t="s">
        <v>679</v>
      </c>
      <c r="D74" s="190">
        <v>285</v>
      </c>
      <c r="E74" s="190"/>
      <c r="F74" s="190" t="s">
        <v>565</v>
      </c>
      <c r="G74" s="190" t="s">
        <v>561</v>
      </c>
      <c r="H74" s="190" t="s">
        <v>559</v>
      </c>
      <c r="I74" s="190" t="s">
        <v>108</v>
      </c>
      <c r="J74" s="190">
        <v>66</v>
      </c>
      <c r="K74" s="190" t="s">
        <v>719</v>
      </c>
      <c r="L74" s="190"/>
      <c r="M74" s="428"/>
      <c r="O74" s="77"/>
      <c r="P74" s="75"/>
      <c r="Q74" s="75"/>
      <c r="R74" s="75"/>
      <c r="S74" s="75"/>
      <c r="T74" s="75"/>
      <c r="U74" s="75"/>
      <c r="V74" s="75"/>
      <c r="W74" s="75"/>
      <c r="X74" s="75"/>
      <c r="Y74" s="75"/>
      <c r="Z74" s="75"/>
      <c r="AA74" s="75"/>
      <c r="AB74" s="75"/>
      <c r="AC74" s="29"/>
      <c r="AD74" s="75"/>
      <c r="AE74" s="77">
        <v>4030400</v>
      </c>
      <c r="AF74" s="29" t="s">
        <v>789</v>
      </c>
      <c r="AG74" t="s">
        <v>650</v>
      </c>
      <c r="AH74" s="75"/>
      <c r="AI74" s="75"/>
      <c r="AJ74" s="75">
        <v>12</v>
      </c>
      <c r="AK74" s="75"/>
      <c r="AL74" s="75"/>
      <c r="AM74" s="75"/>
      <c r="AN74" s="75"/>
      <c r="AO74" s="75">
        <v>12</v>
      </c>
      <c r="AP74" s="75" t="s">
        <v>420</v>
      </c>
      <c r="AQ74" s="77"/>
      <c r="AR74" t="s">
        <v>86</v>
      </c>
      <c r="AS74" s="75" t="s">
        <v>628</v>
      </c>
      <c r="AT74" s="75"/>
    </row>
    <row r="75" spans="1:46" x14ac:dyDescent="0.25">
      <c r="A75" s="189" t="s">
        <v>513</v>
      </c>
      <c r="B75" s="190" t="s">
        <v>517</v>
      </c>
      <c r="C75" s="190" t="s">
        <v>680</v>
      </c>
      <c r="D75" s="190">
        <v>320</v>
      </c>
      <c r="E75" s="190"/>
      <c r="F75" s="190" t="s">
        <v>565</v>
      </c>
      <c r="G75" s="190" t="s">
        <v>561</v>
      </c>
      <c r="H75" s="190" t="s">
        <v>560</v>
      </c>
      <c r="I75" s="190" t="s">
        <v>108</v>
      </c>
      <c r="J75" s="190">
        <v>67</v>
      </c>
      <c r="K75" s="190" t="s">
        <v>707</v>
      </c>
      <c r="L75" s="190"/>
      <c r="M75" s="428"/>
      <c r="O75" s="77"/>
      <c r="P75" s="75"/>
      <c r="Q75" s="75"/>
      <c r="R75" s="75"/>
      <c r="S75" s="75"/>
      <c r="T75" s="75"/>
      <c r="U75" s="75"/>
      <c r="V75" s="75"/>
      <c r="W75" s="75"/>
      <c r="X75" s="75"/>
      <c r="Y75" s="75"/>
      <c r="Z75" s="75"/>
      <c r="AA75" s="75"/>
      <c r="AB75" s="75"/>
      <c r="AC75" s="29"/>
      <c r="AD75" s="75"/>
      <c r="AE75" s="57" t="s">
        <v>1507</v>
      </c>
      <c r="AF75" s="29" t="s">
        <v>789</v>
      </c>
      <c r="AG75" t="s">
        <v>647</v>
      </c>
      <c r="AH75" s="75"/>
      <c r="AI75" s="75"/>
      <c r="AJ75" s="75">
        <v>12</v>
      </c>
      <c r="AK75" s="75"/>
      <c r="AL75" s="75"/>
      <c r="AM75" s="75"/>
      <c r="AN75" s="75"/>
      <c r="AO75" s="75">
        <v>13</v>
      </c>
      <c r="AP75" s="75" t="s">
        <v>420</v>
      </c>
      <c r="AQ75" s="77"/>
      <c r="AR75" t="s">
        <v>86</v>
      </c>
      <c r="AS75" s="75" t="s">
        <v>628</v>
      </c>
      <c r="AT75" s="75"/>
    </row>
    <row r="76" spans="1:46" x14ac:dyDescent="0.25">
      <c r="A76" s="189" t="s">
        <v>500</v>
      </c>
      <c r="B76" s="190" t="s">
        <v>518</v>
      </c>
      <c r="C76" s="190" t="s">
        <v>681</v>
      </c>
      <c r="D76" s="190">
        <v>28</v>
      </c>
      <c r="E76" s="190"/>
      <c r="F76" s="190" t="s">
        <v>110</v>
      </c>
      <c r="G76" s="190" t="s">
        <v>558</v>
      </c>
      <c r="H76" s="190" t="s">
        <v>472</v>
      </c>
      <c r="I76" s="190" t="s">
        <v>108</v>
      </c>
      <c r="J76" s="190">
        <v>68</v>
      </c>
      <c r="K76" s="190" t="s">
        <v>707</v>
      </c>
      <c r="L76" s="190"/>
      <c r="M76" s="428"/>
      <c r="O76" s="77"/>
      <c r="P76" s="75"/>
      <c r="Q76" s="75"/>
      <c r="R76" s="75"/>
      <c r="S76" s="75"/>
      <c r="T76" s="75"/>
      <c r="U76" s="75"/>
      <c r="V76" s="75"/>
      <c r="W76" s="75"/>
      <c r="X76" s="75"/>
      <c r="Y76" s="75"/>
      <c r="Z76" s="75"/>
      <c r="AA76" s="75"/>
      <c r="AB76" s="75"/>
      <c r="AC76" s="29"/>
      <c r="AD76" s="75"/>
      <c r="AE76" s="77">
        <v>4120100</v>
      </c>
      <c r="AF76" s="29" t="s">
        <v>789</v>
      </c>
      <c r="AG76" t="s">
        <v>630</v>
      </c>
      <c r="AH76" s="75"/>
      <c r="AI76" s="75"/>
      <c r="AJ76" s="75">
        <v>10</v>
      </c>
      <c r="AK76" s="75"/>
      <c r="AL76" s="75"/>
      <c r="AM76" s="75"/>
      <c r="AN76" s="75"/>
      <c r="AO76" s="75">
        <v>14</v>
      </c>
      <c r="AP76" s="75" t="s">
        <v>176</v>
      </c>
      <c r="AQ76" s="77"/>
      <c r="AR76" t="s">
        <v>86</v>
      </c>
      <c r="AS76" s="75" t="s">
        <v>628</v>
      </c>
      <c r="AT76" s="75"/>
    </row>
    <row r="77" spans="1:46" x14ac:dyDescent="0.25">
      <c r="A77" s="189" t="s">
        <v>500</v>
      </c>
      <c r="B77" s="190" t="s">
        <v>519</v>
      </c>
      <c r="C77" s="190" t="s">
        <v>682</v>
      </c>
      <c r="D77" s="190">
        <v>56</v>
      </c>
      <c r="E77" s="190"/>
      <c r="F77" s="190" t="s">
        <v>110</v>
      </c>
      <c r="G77" s="190" t="s">
        <v>558</v>
      </c>
      <c r="H77" s="190" t="s">
        <v>556</v>
      </c>
      <c r="I77" s="190" t="s">
        <v>108</v>
      </c>
      <c r="J77" s="190">
        <v>69</v>
      </c>
      <c r="K77" s="190" t="s">
        <v>707</v>
      </c>
      <c r="L77" s="190"/>
      <c r="M77" s="428"/>
      <c r="N77" s="180"/>
      <c r="O77" s="77"/>
      <c r="P77" s="75"/>
      <c r="Q77" s="75"/>
      <c r="R77" s="75"/>
      <c r="S77" s="75"/>
      <c r="T77" s="75"/>
      <c r="U77" s="75"/>
      <c r="V77" s="75"/>
      <c r="W77" s="75"/>
      <c r="X77" s="75"/>
      <c r="Y77" s="75"/>
      <c r="Z77" s="75"/>
      <c r="AA77" s="75"/>
      <c r="AB77" s="75"/>
      <c r="AC77" s="29"/>
      <c r="AD77" s="75"/>
      <c r="AE77" s="77">
        <v>4120200</v>
      </c>
      <c r="AF77" s="29" t="s">
        <v>789</v>
      </c>
      <c r="AG77" t="s">
        <v>629</v>
      </c>
      <c r="AH77" s="75"/>
      <c r="AI77" s="75"/>
      <c r="AJ77" s="75">
        <v>15</v>
      </c>
      <c r="AK77" s="75"/>
      <c r="AL77" s="75"/>
      <c r="AM77" s="75"/>
      <c r="AN77" s="75"/>
      <c r="AO77" s="75">
        <v>15</v>
      </c>
      <c r="AP77" s="75" t="s">
        <v>176</v>
      </c>
      <c r="AQ77" s="77"/>
      <c r="AR77" t="s">
        <v>86</v>
      </c>
      <c r="AS77" s="75" t="s">
        <v>628</v>
      </c>
      <c r="AT77" s="75"/>
    </row>
    <row r="78" spans="1:46" x14ac:dyDescent="0.25">
      <c r="A78" s="189" t="s">
        <v>500</v>
      </c>
      <c r="B78" s="190" t="s">
        <v>1200</v>
      </c>
      <c r="C78" s="190" t="s">
        <v>1236</v>
      </c>
      <c r="D78" s="190">
        <v>89</v>
      </c>
      <c r="E78" s="190"/>
      <c r="F78" s="190" t="s">
        <v>110</v>
      </c>
      <c r="G78" s="190" t="s">
        <v>558</v>
      </c>
      <c r="H78" s="190" t="s">
        <v>559</v>
      </c>
      <c r="I78" s="190" t="s">
        <v>108</v>
      </c>
      <c r="J78" s="190">
        <v>70</v>
      </c>
      <c r="K78" s="190" t="s">
        <v>707</v>
      </c>
      <c r="L78" s="190"/>
      <c r="M78" s="428"/>
      <c r="N78" s="79"/>
      <c r="O78" s="77"/>
      <c r="P78" s="75"/>
      <c r="Q78" s="75"/>
      <c r="R78" s="75"/>
      <c r="S78" s="75"/>
      <c r="T78" s="75"/>
      <c r="U78" s="75"/>
      <c r="V78" s="75"/>
      <c r="W78" s="75"/>
      <c r="X78" s="75"/>
      <c r="Y78" s="75"/>
      <c r="Z78" s="75"/>
      <c r="AA78" s="75"/>
      <c r="AB78" s="75"/>
      <c r="AC78" s="29"/>
      <c r="AD78" s="75"/>
      <c r="AE78" s="57" t="s">
        <v>1480</v>
      </c>
      <c r="AF78" s="29" t="s">
        <v>789</v>
      </c>
      <c r="AG78" t="s">
        <v>796</v>
      </c>
      <c r="AO78" s="75">
        <v>16</v>
      </c>
      <c r="AQ78" s="57"/>
      <c r="AR78" t="s">
        <v>86</v>
      </c>
      <c r="AS78" t="s">
        <v>628</v>
      </c>
      <c r="AT78" s="75"/>
    </row>
    <row r="79" spans="1:46" x14ac:dyDescent="0.25">
      <c r="A79" s="189"/>
      <c r="B79" s="190" t="s">
        <v>1038</v>
      </c>
      <c r="C79" s="190"/>
      <c r="D79" s="190" t="s">
        <v>658</v>
      </c>
      <c r="E79" s="190"/>
      <c r="F79" s="190"/>
      <c r="G79" s="190"/>
      <c r="H79" s="190"/>
      <c r="I79" s="190"/>
      <c r="J79" s="190">
        <v>71</v>
      </c>
      <c r="K79" s="190"/>
      <c r="L79" s="190"/>
      <c r="M79" s="428"/>
      <c r="N79" s="79"/>
      <c r="O79" s="77"/>
      <c r="P79" s="75"/>
      <c r="Q79" s="75"/>
      <c r="R79" s="75"/>
      <c r="S79" s="75"/>
      <c r="T79" s="75"/>
      <c r="U79" s="75"/>
      <c r="V79" s="75"/>
      <c r="W79" s="75"/>
      <c r="X79" s="75"/>
      <c r="Y79" s="75"/>
      <c r="Z79" s="75"/>
      <c r="AA79" s="75"/>
      <c r="AB79" s="75"/>
      <c r="AC79" s="29"/>
      <c r="AD79" s="75"/>
      <c r="AE79" s="77"/>
      <c r="AF79" s="75"/>
      <c r="AG79" s="75"/>
      <c r="AH79" s="75"/>
      <c r="AI79" s="75"/>
      <c r="AJ79" s="75"/>
      <c r="AK79" s="75"/>
      <c r="AL79" s="75"/>
      <c r="AM79" s="75"/>
      <c r="AN79" s="75"/>
      <c r="AO79" s="75"/>
      <c r="AP79" s="75"/>
      <c r="AQ79" s="75"/>
      <c r="AR79" s="75"/>
      <c r="AS79" s="75"/>
      <c r="AT79" s="75"/>
    </row>
    <row r="80" spans="1:46" x14ac:dyDescent="0.25">
      <c r="A80" s="57" t="s">
        <v>520</v>
      </c>
      <c r="B80" s="193" t="s">
        <v>1261</v>
      </c>
      <c r="C80" s="190" t="s">
        <v>1263</v>
      </c>
      <c r="D80" s="193">
        <v>28</v>
      </c>
      <c r="E80" s="193"/>
      <c r="F80" s="193" t="s">
        <v>109</v>
      </c>
      <c r="G80" s="193" t="s">
        <v>469</v>
      </c>
      <c r="H80" s="193" t="s">
        <v>472</v>
      </c>
      <c r="I80" s="193" t="s">
        <v>108</v>
      </c>
      <c r="J80" s="190">
        <v>72</v>
      </c>
      <c r="K80" s="193" t="s">
        <v>706</v>
      </c>
      <c r="L80" s="193"/>
      <c r="M80" s="428"/>
      <c r="N80" s="180"/>
      <c r="O80" s="77"/>
      <c r="P80" s="75"/>
      <c r="Q80" s="75"/>
      <c r="R80" s="75"/>
      <c r="S80" s="75"/>
      <c r="T80" s="75"/>
      <c r="U80" s="75"/>
      <c r="V80" s="75"/>
      <c r="W80" s="75"/>
      <c r="X80" s="75"/>
      <c r="Y80" s="75"/>
      <c r="Z80" s="75"/>
      <c r="AA80" s="75"/>
      <c r="AB80" s="75"/>
      <c r="AC80" s="29"/>
      <c r="AD80" s="75"/>
      <c r="AE80" s="77" t="s">
        <v>92</v>
      </c>
      <c r="AF80" s="77" t="s">
        <v>775</v>
      </c>
      <c r="AG80" s="75" t="s">
        <v>645</v>
      </c>
      <c r="AH80" s="75" t="s">
        <v>646</v>
      </c>
      <c r="AI80" t="s">
        <v>790</v>
      </c>
      <c r="AJ80" s="75" t="s">
        <v>100</v>
      </c>
      <c r="AK80" s="75" t="s">
        <v>94</v>
      </c>
      <c r="AL80" s="75" t="s">
        <v>470</v>
      </c>
      <c r="AM80" s="75" t="s">
        <v>471</v>
      </c>
      <c r="AN80" s="75" t="s">
        <v>614</v>
      </c>
      <c r="AO80" s="75" t="s">
        <v>475</v>
      </c>
      <c r="AP80" s="75" t="s">
        <v>613</v>
      </c>
      <c r="AQ80" s="75" t="s">
        <v>460</v>
      </c>
      <c r="AR80" t="s">
        <v>837</v>
      </c>
      <c r="AS80" s="75" t="s">
        <v>612</v>
      </c>
      <c r="AT80" s="75"/>
    </row>
    <row r="81" spans="1:46" x14ac:dyDescent="0.25">
      <c r="A81" s="57" t="s">
        <v>520</v>
      </c>
      <c r="B81" s="193" t="s">
        <v>1262</v>
      </c>
      <c r="C81" s="190" t="s">
        <v>1264</v>
      </c>
      <c r="D81" s="193">
        <v>54</v>
      </c>
      <c r="E81" s="193"/>
      <c r="F81" s="193" t="s">
        <v>109</v>
      </c>
      <c r="G81" s="193" t="s">
        <v>469</v>
      </c>
      <c r="H81" s="193" t="s">
        <v>556</v>
      </c>
      <c r="I81" s="193" t="s">
        <v>108</v>
      </c>
      <c r="J81" s="190">
        <v>73</v>
      </c>
      <c r="K81" s="193" t="s">
        <v>706</v>
      </c>
      <c r="L81" s="193"/>
      <c r="M81" s="428"/>
      <c r="N81" s="79"/>
      <c r="O81" s="77"/>
      <c r="P81" s="75"/>
      <c r="Q81" s="75"/>
      <c r="R81" s="75"/>
      <c r="S81" s="75"/>
      <c r="T81" s="75"/>
      <c r="U81" s="75"/>
      <c r="V81" s="75"/>
      <c r="W81" s="75"/>
      <c r="X81" s="75"/>
      <c r="Y81" s="75"/>
      <c r="Z81" s="75"/>
      <c r="AA81" s="75"/>
      <c r="AB81" s="75"/>
      <c r="AC81" s="29"/>
      <c r="AD81" s="75"/>
      <c r="AE81" s="57" t="s">
        <v>1481</v>
      </c>
      <c r="AF81" s="77" t="s">
        <v>773</v>
      </c>
      <c r="AG81" t="s">
        <v>998</v>
      </c>
      <c r="AJ81">
        <v>15</v>
      </c>
      <c r="AO81">
        <v>1</v>
      </c>
      <c r="AP81" s="75" t="s">
        <v>418</v>
      </c>
      <c r="AQ81" s="57"/>
      <c r="AR81" t="s">
        <v>722</v>
      </c>
      <c r="AS81" s="75" t="s">
        <v>631</v>
      </c>
      <c r="AT81" s="75"/>
    </row>
    <row r="82" spans="1:46" x14ac:dyDescent="0.25">
      <c r="A82" s="189" t="s">
        <v>520</v>
      </c>
      <c r="B82" s="190" t="s">
        <v>763</v>
      </c>
      <c r="C82" s="190" t="s">
        <v>1238</v>
      </c>
      <c r="D82" s="190">
        <v>32</v>
      </c>
      <c r="E82" s="190"/>
      <c r="F82" s="190" t="s">
        <v>109</v>
      </c>
      <c r="G82" s="190" t="s">
        <v>558</v>
      </c>
      <c r="H82" s="190" t="s">
        <v>472</v>
      </c>
      <c r="I82" s="190" t="s">
        <v>108</v>
      </c>
      <c r="J82" s="190">
        <v>74</v>
      </c>
      <c r="K82" s="190" t="s">
        <v>706</v>
      </c>
      <c r="L82" s="190"/>
      <c r="M82" s="428"/>
      <c r="N82" s="79"/>
      <c r="O82" s="77"/>
      <c r="P82" s="75"/>
      <c r="Q82" s="75"/>
      <c r="R82" s="75"/>
      <c r="S82" s="75"/>
      <c r="T82" s="75"/>
      <c r="U82" s="75"/>
      <c r="V82" s="75"/>
      <c r="W82" s="75"/>
      <c r="X82" s="75"/>
      <c r="Y82" s="75"/>
      <c r="Z82" s="75"/>
      <c r="AA82" s="75"/>
      <c r="AB82" s="75"/>
      <c r="AC82" s="29"/>
      <c r="AD82" s="75"/>
      <c r="AE82" s="77" t="s">
        <v>1482</v>
      </c>
      <c r="AF82" s="77" t="s">
        <v>773</v>
      </c>
      <c r="AG82" t="s">
        <v>806</v>
      </c>
      <c r="AH82" s="75"/>
      <c r="AI82" s="75"/>
      <c r="AJ82" s="75">
        <v>10</v>
      </c>
      <c r="AK82" s="75"/>
      <c r="AL82" s="75"/>
      <c r="AM82" s="75"/>
      <c r="AN82" s="75"/>
      <c r="AO82" s="75">
        <v>2</v>
      </c>
      <c r="AP82" s="75" t="s">
        <v>418</v>
      </c>
      <c r="AQ82" s="77"/>
      <c r="AR82" t="s">
        <v>722</v>
      </c>
      <c r="AS82" s="75" t="s">
        <v>631</v>
      </c>
      <c r="AT82" s="75"/>
    </row>
    <row r="83" spans="1:46" x14ac:dyDescent="0.25">
      <c r="A83" s="189" t="s">
        <v>520</v>
      </c>
      <c r="B83" s="190" t="s">
        <v>764</v>
      </c>
      <c r="C83" s="190" t="s">
        <v>1239</v>
      </c>
      <c r="D83" s="190">
        <v>64</v>
      </c>
      <c r="E83" s="190"/>
      <c r="F83" s="190" t="s">
        <v>109</v>
      </c>
      <c r="G83" s="190" t="s">
        <v>558</v>
      </c>
      <c r="H83" s="190" t="s">
        <v>556</v>
      </c>
      <c r="I83" s="190" t="s">
        <v>108</v>
      </c>
      <c r="J83" s="190">
        <v>75</v>
      </c>
      <c r="K83" s="190" t="s">
        <v>706</v>
      </c>
      <c r="L83" s="190"/>
      <c r="M83" s="428"/>
      <c r="N83" s="79"/>
      <c r="O83" s="77"/>
      <c r="P83" s="75"/>
      <c r="Q83" s="75"/>
      <c r="R83" s="75"/>
      <c r="S83" s="75"/>
      <c r="T83" s="75"/>
      <c r="U83" s="75"/>
      <c r="V83" s="75"/>
      <c r="W83" s="75"/>
      <c r="X83" s="75"/>
      <c r="Y83" s="75"/>
      <c r="Z83" s="75"/>
      <c r="AA83" s="75"/>
      <c r="AB83" s="75"/>
      <c r="AC83" s="29"/>
      <c r="AD83" s="75"/>
      <c r="AE83" s="77" t="s">
        <v>1483</v>
      </c>
      <c r="AF83" s="77" t="s">
        <v>773</v>
      </c>
      <c r="AG83" t="s">
        <v>807</v>
      </c>
      <c r="AH83" s="75"/>
      <c r="AI83" s="75"/>
      <c r="AJ83" s="75">
        <v>15</v>
      </c>
      <c r="AK83" s="75"/>
      <c r="AL83" s="75"/>
      <c r="AM83" s="75"/>
      <c r="AN83" s="75"/>
      <c r="AO83" s="75">
        <v>3</v>
      </c>
      <c r="AP83" s="75" t="s">
        <v>175</v>
      </c>
      <c r="AQ83" s="77"/>
      <c r="AR83" t="s">
        <v>722</v>
      </c>
      <c r="AS83" s="75" t="s">
        <v>631</v>
      </c>
      <c r="AT83" s="75"/>
    </row>
    <row r="84" spans="1:46" x14ac:dyDescent="0.25">
      <c r="A84" s="189" t="s">
        <v>520</v>
      </c>
      <c r="B84" s="190" t="s">
        <v>1201</v>
      </c>
      <c r="C84" s="190" t="s">
        <v>1242</v>
      </c>
      <c r="D84" s="190">
        <v>96</v>
      </c>
      <c r="E84" s="190"/>
      <c r="F84" s="190" t="s">
        <v>109</v>
      </c>
      <c r="G84" s="190" t="s">
        <v>558</v>
      </c>
      <c r="H84" s="190" t="s">
        <v>559</v>
      </c>
      <c r="I84" s="190" t="s">
        <v>108</v>
      </c>
      <c r="J84" s="190">
        <v>76</v>
      </c>
      <c r="K84" s="190" t="s">
        <v>706</v>
      </c>
      <c r="L84" s="190"/>
      <c r="M84" s="428"/>
      <c r="N84" s="79"/>
      <c r="O84" s="77"/>
      <c r="P84" s="75"/>
      <c r="Q84" s="75"/>
      <c r="R84" s="75"/>
      <c r="S84" s="75"/>
      <c r="T84" s="75"/>
      <c r="U84" s="75"/>
      <c r="V84" s="75"/>
      <c r="W84" s="75"/>
      <c r="X84" s="75"/>
      <c r="Y84" s="75"/>
      <c r="Z84" s="75"/>
      <c r="AA84" s="75"/>
      <c r="AB84" s="75"/>
      <c r="AC84" s="75"/>
      <c r="AD84" s="75"/>
      <c r="AE84" s="77" t="s">
        <v>1484</v>
      </c>
      <c r="AF84" s="77" t="s">
        <v>773</v>
      </c>
      <c r="AG84" t="s">
        <v>811</v>
      </c>
      <c r="AH84" s="75"/>
      <c r="AI84" s="75"/>
      <c r="AJ84" s="75">
        <v>15</v>
      </c>
      <c r="AK84" s="75"/>
      <c r="AL84" s="75"/>
      <c r="AM84" s="75"/>
      <c r="AN84" s="75"/>
      <c r="AO84">
        <v>4</v>
      </c>
      <c r="AP84" s="75" t="s">
        <v>418</v>
      </c>
      <c r="AQ84" s="77"/>
      <c r="AR84" t="s">
        <v>722</v>
      </c>
      <c r="AS84" s="75" t="s">
        <v>631</v>
      </c>
      <c r="AT84" s="75"/>
    </row>
    <row r="85" spans="1:46" x14ac:dyDescent="0.25">
      <c r="A85" s="189" t="s">
        <v>520</v>
      </c>
      <c r="B85" s="190" t="s">
        <v>765</v>
      </c>
      <c r="C85" s="190" t="s">
        <v>1240</v>
      </c>
      <c r="D85" s="190">
        <v>128</v>
      </c>
      <c r="E85" s="190"/>
      <c r="F85" s="190" t="s">
        <v>109</v>
      </c>
      <c r="G85" s="190" t="s">
        <v>558</v>
      </c>
      <c r="H85" s="190" t="s">
        <v>560</v>
      </c>
      <c r="I85" s="190" t="s">
        <v>108</v>
      </c>
      <c r="J85" s="190">
        <v>77</v>
      </c>
      <c r="K85" s="190" t="s">
        <v>706</v>
      </c>
      <c r="L85" s="190"/>
      <c r="M85" s="428"/>
      <c r="N85" s="180"/>
      <c r="O85" s="77"/>
      <c r="P85" s="75"/>
      <c r="Q85" s="75"/>
      <c r="R85" s="75"/>
      <c r="S85" s="75"/>
      <c r="T85" s="75"/>
      <c r="U85" s="75"/>
      <c r="V85" s="75"/>
      <c r="W85" s="75"/>
      <c r="X85" s="75"/>
      <c r="Y85" s="75"/>
      <c r="Z85" s="75"/>
      <c r="AA85" s="75"/>
      <c r="AB85" s="75"/>
      <c r="AC85" s="75"/>
      <c r="AD85" s="75"/>
      <c r="AE85" s="77" t="s">
        <v>1485</v>
      </c>
      <c r="AF85" s="77" t="s">
        <v>773</v>
      </c>
      <c r="AG85" t="s">
        <v>808</v>
      </c>
      <c r="AH85" s="75"/>
      <c r="AI85" s="75"/>
      <c r="AJ85" s="75">
        <v>15</v>
      </c>
      <c r="AK85" s="75"/>
      <c r="AL85" s="75"/>
      <c r="AM85" s="75"/>
      <c r="AN85" s="75"/>
      <c r="AO85" s="75">
        <v>5</v>
      </c>
      <c r="AP85" s="75" t="s">
        <v>175</v>
      </c>
      <c r="AQ85" s="77"/>
      <c r="AR85" t="s">
        <v>722</v>
      </c>
      <c r="AS85" s="75" t="s">
        <v>631</v>
      </c>
      <c r="AT85" s="75"/>
    </row>
    <row r="86" spans="1:46" x14ac:dyDescent="0.25">
      <c r="A86" s="189" t="s">
        <v>520</v>
      </c>
      <c r="B86" s="190" t="s">
        <v>766</v>
      </c>
      <c r="C86" s="190" t="s">
        <v>1241</v>
      </c>
      <c r="D86" s="190">
        <v>192</v>
      </c>
      <c r="E86" s="190"/>
      <c r="F86" s="190" t="s">
        <v>109</v>
      </c>
      <c r="G86" s="190" t="s">
        <v>558</v>
      </c>
      <c r="H86" s="190" t="s">
        <v>566</v>
      </c>
      <c r="I86" s="190" t="s">
        <v>108</v>
      </c>
      <c r="J86" s="190">
        <v>78</v>
      </c>
      <c r="K86" s="190" t="s">
        <v>707</v>
      </c>
      <c r="L86" s="190"/>
      <c r="M86" s="428"/>
      <c r="N86" s="79"/>
      <c r="O86" s="77"/>
      <c r="P86" s="75"/>
      <c r="Q86" s="75"/>
      <c r="R86" s="75"/>
      <c r="S86" s="75"/>
      <c r="T86" s="75"/>
      <c r="U86" s="75"/>
      <c r="V86" s="75"/>
      <c r="W86" s="75"/>
      <c r="X86" s="75"/>
      <c r="Y86" s="75"/>
      <c r="Z86" s="75"/>
      <c r="AA86" s="75"/>
      <c r="AB86" s="75"/>
      <c r="AC86" s="75"/>
      <c r="AD86" s="75"/>
      <c r="AE86" s="77" t="s">
        <v>1486</v>
      </c>
      <c r="AF86" s="77" t="s">
        <v>773</v>
      </c>
      <c r="AG86" t="s">
        <v>809</v>
      </c>
      <c r="AH86" s="75"/>
      <c r="AI86" s="75"/>
      <c r="AJ86" s="75">
        <v>15</v>
      </c>
      <c r="AK86" s="75"/>
      <c r="AL86" s="75"/>
      <c r="AM86" s="75"/>
      <c r="AN86" s="75"/>
      <c r="AO86" s="75">
        <v>6</v>
      </c>
      <c r="AP86" s="75" t="s">
        <v>175</v>
      </c>
      <c r="AQ86" s="77"/>
      <c r="AR86" t="s">
        <v>722</v>
      </c>
      <c r="AS86" s="75" t="s">
        <v>631</v>
      </c>
      <c r="AT86" s="75"/>
    </row>
    <row r="87" spans="1:46" x14ac:dyDescent="0.25">
      <c r="A87" s="189" t="s">
        <v>520</v>
      </c>
      <c r="B87" s="190" t="s">
        <v>1202</v>
      </c>
      <c r="C87" s="190" t="s">
        <v>1243</v>
      </c>
      <c r="D87" s="190">
        <v>256</v>
      </c>
      <c r="E87" s="190"/>
      <c r="F87" s="190" t="s">
        <v>109</v>
      </c>
      <c r="G87" s="190" t="s">
        <v>558</v>
      </c>
      <c r="H87" s="190" t="s">
        <v>567</v>
      </c>
      <c r="I87" s="190" t="s">
        <v>108</v>
      </c>
      <c r="J87" s="190">
        <v>79</v>
      </c>
      <c r="K87" s="190" t="s">
        <v>707</v>
      </c>
      <c r="L87" s="190"/>
      <c r="M87" s="428"/>
      <c r="N87" s="180"/>
      <c r="O87" s="77"/>
      <c r="P87" s="75"/>
      <c r="Q87" s="75"/>
      <c r="R87" s="75"/>
      <c r="S87" s="75"/>
      <c r="T87" s="75"/>
      <c r="U87" s="75"/>
      <c r="V87" s="75"/>
      <c r="W87" s="75"/>
      <c r="X87" s="75"/>
      <c r="Y87" s="75"/>
      <c r="Z87" s="75"/>
      <c r="AB87" s="75"/>
      <c r="AC87" s="75"/>
      <c r="AD87" s="75"/>
      <c r="AE87" s="77" t="s">
        <v>1487</v>
      </c>
      <c r="AF87" s="77" t="s">
        <v>773</v>
      </c>
      <c r="AG87" t="s">
        <v>805</v>
      </c>
      <c r="AH87" s="75"/>
      <c r="AI87" s="75"/>
      <c r="AJ87" s="75">
        <v>15</v>
      </c>
      <c r="AK87" s="75"/>
      <c r="AL87" s="75"/>
      <c r="AM87" s="75"/>
      <c r="AN87" s="75"/>
      <c r="AO87">
        <v>7</v>
      </c>
      <c r="AP87" s="75" t="s">
        <v>418</v>
      </c>
      <c r="AQ87" s="77"/>
      <c r="AR87" t="s">
        <v>722</v>
      </c>
      <c r="AS87" s="75" t="s">
        <v>631</v>
      </c>
      <c r="AT87" s="75"/>
    </row>
    <row r="88" spans="1:46" x14ac:dyDescent="0.25">
      <c r="A88" s="192" t="s">
        <v>520</v>
      </c>
      <c r="B88" t="s">
        <v>1286</v>
      </c>
      <c r="C88" s="190" t="s">
        <v>1259</v>
      </c>
      <c r="D88" s="193">
        <v>40</v>
      </c>
      <c r="E88" s="193"/>
      <c r="F88" s="193" t="s">
        <v>109</v>
      </c>
      <c r="G88" s="193" t="s">
        <v>1258</v>
      </c>
      <c r="H88" s="193" t="s">
        <v>472</v>
      </c>
      <c r="I88" s="193" t="s">
        <v>108</v>
      </c>
      <c r="J88" s="190">
        <v>80</v>
      </c>
      <c r="K88" s="193" t="s">
        <v>1207</v>
      </c>
      <c r="L88" s="193"/>
      <c r="M88" s="428"/>
      <c r="N88" s="79"/>
      <c r="O88" s="77"/>
      <c r="P88" s="75"/>
      <c r="Q88" s="75"/>
      <c r="R88" s="75"/>
      <c r="S88" s="75"/>
      <c r="T88" s="75"/>
      <c r="U88" s="75"/>
      <c r="V88" s="75"/>
      <c r="W88" s="75"/>
      <c r="X88" s="75"/>
      <c r="Y88" s="75"/>
      <c r="Z88" s="75"/>
      <c r="AB88" s="75"/>
      <c r="AC88" s="75"/>
      <c r="AD88" s="75"/>
      <c r="AE88" s="77" t="s">
        <v>1488</v>
      </c>
      <c r="AF88" s="77" t="s">
        <v>773</v>
      </c>
      <c r="AG88" t="s">
        <v>797</v>
      </c>
      <c r="AH88" s="75"/>
      <c r="AI88" s="75"/>
      <c r="AJ88" s="75"/>
      <c r="AK88" s="75"/>
      <c r="AL88" s="75"/>
      <c r="AM88" s="75"/>
      <c r="AN88" s="75"/>
      <c r="AO88" s="75">
        <v>8</v>
      </c>
      <c r="AP88" s="75"/>
      <c r="AQ88" s="77"/>
      <c r="AR88" t="s">
        <v>722</v>
      </c>
      <c r="AS88" s="75" t="s">
        <v>631</v>
      </c>
      <c r="AT88" s="75"/>
    </row>
    <row r="89" spans="1:46" x14ac:dyDescent="0.25">
      <c r="A89" s="192" t="s">
        <v>520</v>
      </c>
      <c r="B89" t="s">
        <v>1287</v>
      </c>
      <c r="C89" s="190" t="s">
        <v>1260</v>
      </c>
      <c r="D89" s="193">
        <v>77</v>
      </c>
      <c r="E89" s="193"/>
      <c r="F89" s="193" t="s">
        <v>109</v>
      </c>
      <c r="G89" s="193" t="s">
        <v>1258</v>
      </c>
      <c r="H89" s="193" t="s">
        <v>556</v>
      </c>
      <c r="I89" s="193" t="s">
        <v>108</v>
      </c>
      <c r="J89" s="190">
        <v>81</v>
      </c>
      <c r="K89" s="193" t="s">
        <v>1207</v>
      </c>
      <c r="L89" s="193"/>
      <c r="M89" s="428"/>
      <c r="N89" s="180"/>
      <c r="O89" s="77"/>
      <c r="P89" s="75"/>
      <c r="Q89" s="75"/>
      <c r="R89" s="75"/>
      <c r="S89" s="75"/>
      <c r="T89" s="75"/>
      <c r="U89" s="75"/>
      <c r="V89" s="75"/>
      <c r="W89" s="75"/>
      <c r="X89" s="75"/>
      <c r="Y89" s="75"/>
      <c r="Z89" s="75"/>
      <c r="AB89" s="75"/>
      <c r="AC89" s="75"/>
      <c r="AD89" s="75"/>
      <c r="AE89" s="57">
        <v>4020600</v>
      </c>
      <c r="AF89" s="29" t="s">
        <v>789</v>
      </c>
      <c r="AG89" t="s">
        <v>997</v>
      </c>
      <c r="AJ89">
        <v>15</v>
      </c>
      <c r="AO89" s="75">
        <v>9</v>
      </c>
      <c r="AP89" s="75" t="s">
        <v>418</v>
      </c>
      <c r="AQ89" s="57"/>
      <c r="AR89" t="s">
        <v>86</v>
      </c>
      <c r="AS89" s="75" t="s">
        <v>631</v>
      </c>
      <c r="AT89" s="75"/>
    </row>
    <row r="90" spans="1:46" x14ac:dyDescent="0.25">
      <c r="A90" s="481" t="s">
        <v>521</v>
      </c>
      <c r="B90" s="482" t="s">
        <v>2099</v>
      </c>
      <c r="C90" s="482" t="s">
        <v>2101</v>
      </c>
      <c r="D90" s="482">
        <v>42</v>
      </c>
      <c r="E90" s="482"/>
      <c r="F90" s="482" t="s">
        <v>714</v>
      </c>
      <c r="G90" s="482" t="s">
        <v>557</v>
      </c>
      <c r="H90" s="482" t="s">
        <v>472</v>
      </c>
      <c r="I90" s="482" t="s">
        <v>108</v>
      </c>
      <c r="J90" s="190">
        <v>82</v>
      </c>
      <c r="K90" s="482" t="s">
        <v>1207</v>
      </c>
      <c r="L90" s="482"/>
      <c r="M90" s="482"/>
      <c r="N90" s="79"/>
      <c r="O90" s="77"/>
      <c r="P90" s="75"/>
      <c r="Q90" s="75"/>
      <c r="R90" s="75"/>
      <c r="S90" s="75"/>
      <c r="T90" s="75"/>
      <c r="U90" s="75"/>
      <c r="V90" s="75"/>
      <c r="W90" s="75"/>
      <c r="X90" s="75"/>
      <c r="Y90" s="75"/>
      <c r="Z90" s="75"/>
      <c r="AB90" s="75"/>
      <c r="AC90" s="75"/>
      <c r="AD90" s="75"/>
      <c r="AE90" s="77">
        <v>4020400</v>
      </c>
      <c r="AF90" s="29" t="s">
        <v>789</v>
      </c>
      <c r="AG90" s="75" t="s">
        <v>632</v>
      </c>
      <c r="AH90" s="75"/>
      <c r="AI90" s="75"/>
      <c r="AJ90" s="75">
        <v>10</v>
      </c>
      <c r="AK90" s="75"/>
      <c r="AL90" s="75"/>
      <c r="AM90" s="75"/>
      <c r="AN90" s="75"/>
      <c r="AO90">
        <v>10</v>
      </c>
      <c r="AP90" s="75" t="s">
        <v>418</v>
      </c>
      <c r="AQ90" s="77"/>
      <c r="AR90" t="s">
        <v>86</v>
      </c>
      <c r="AS90" s="75" t="s">
        <v>631</v>
      </c>
      <c r="AT90" s="75"/>
    </row>
    <row r="91" spans="1:46" x14ac:dyDescent="0.25">
      <c r="A91" s="481" t="s">
        <v>521</v>
      </c>
      <c r="B91" s="482" t="s">
        <v>2100</v>
      </c>
      <c r="C91" s="482" t="s">
        <v>2102</v>
      </c>
      <c r="D91" s="482">
        <v>85</v>
      </c>
      <c r="E91" s="482"/>
      <c r="F91" s="482" t="s">
        <v>714</v>
      </c>
      <c r="G91" s="482" t="s">
        <v>557</v>
      </c>
      <c r="H91" s="482" t="s">
        <v>556</v>
      </c>
      <c r="I91" s="482" t="s">
        <v>108</v>
      </c>
      <c r="J91" s="190">
        <v>83</v>
      </c>
      <c r="K91" s="482" t="s">
        <v>1207</v>
      </c>
      <c r="L91" s="482"/>
      <c r="M91" s="482"/>
      <c r="N91" s="79"/>
      <c r="O91"/>
      <c r="AB91" s="75"/>
      <c r="AC91" s="75"/>
      <c r="AD91" s="75"/>
      <c r="AE91" s="77">
        <v>4090100</v>
      </c>
      <c r="AF91" s="29" t="s">
        <v>789</v>
      </c>
      <c r="AG91" s="75" t="s">
        <v>634</v>
      </c>
      <c r="AH91" s="75"/>
      <c r="AI91" s="75"/>
      <c r="AJ91" s="75">
        <v>15</v>
      </c>
      <c r="AK91" s="75"/>
      <c r="AL91" s="75"/>
      <c r="AM91" s="75"/>
      <c r="AN91" s="75"/>
      <c r="AO91" s="75">
        <v>11</v>
      </c>
      <c r="AP91" s="75" t="s">
        <v>175</v>
      </c>
      <c r="AQ91" s="77"/>
      <c r="AR91" t="s">
        <v>86</v>
      </c>
      <c r="AS91" s="75" t="s">
        <v>631</v>
      </c>
      <c r="AT91" s="75"/>
    </row>
    <row r="92" spans="1:46" x14ac:dyDescent="0.25">
      <c r="A92" s="189" t="s">
        <v>521</v>
      </c>
      <c r="B92" s="190" t="s">
        <v>708</v>
      </c>
      <c r="C92" s="190" t="s">
        <v>150</v>
      </c>
      <c r="D92" s="190">
        <v>59</v>
      </c>
      <c r="E92" s="190"/>
      <c r="F92" s="190" t="s">
        <v>714</v>
      </c>
      <c r="G92" s="190" t="s">
        <v>558</v>
      </c>
      <c r="H92" s="190" t="s">
        <v>472</v>
      </c>
      <c r="I92" s="190" t="s">
        <v>108</v>
      </c>
      <c r="J92" s="190">
        <v>84</v>
      </c>
      <c r="K92" s="190" t="s">
        <v>706</v>
      </c>
      <c r="L92" s="190"/>
      <c r="M92" s="428"/>
      <c r="N92" s="79"/>
      <c r="O92"/>
      <c r="AB92" s="75"/>
      <c r="AC92" s="75"/>
      <c r="AD92" s="75"/>
      <c r="AE92" s="77">
        <v>4020800</v>
      </c>
      <c r="AF92" s="29" t="s">
        <v>789</v>
      </c>
      <c r="AG92" s="75" t="s">
        <v>657</v>
      </c>
      <c r="AH92" s="75"/>
      <c r="AI92" s="75"/>
      <c r="AJ92" s="75">
        <v>15</v>
      </c>
      <c r="AK92" s="75"/>
      <c r="AL92" s="75"/>
      <c r="AM92" s="75"/>
      <c r="AN92" s="75"/>
      <c r="AO92" s="75">
        <v>12</v>
      </c>
      <c r="AP92" s="75" t="s">
        <v>418</v>
      </c>
      <c r="AQ92" s="77"/>
      <c r="AR92" t="s">
        <v>86</v>
      </c>
      <c r="AS92" s="75" t="s">
        <v>631</v>
      </c>
      <c r="AT92" s="75"/>
    </row>
    <row r="93" spans="1:46" x14ac:dyDescent="0.25">
      <c r="A93" s="189" t="s">
        <v>521</v>
      </c>
      <c r="B93" s="190" t="s">
        <v>709</v>
      </c>
      <c r="C93" s="190" t="s">
        <v>151</v>
      </c>
      <c r="D93" s="190">
        <v>120</v>
      </c>
      <c r="E93" s="190"/>
      <c r="F93" s="190" t="s">
        <v>714</v>
      </c>
      <c r="G93" s="190" t="s">
        <v>558</v>
      </c>
      <c r="H93" s="190" t="s">
        <v>556</v>
      </c>
      <c r="I93" s="190" t="s">
        <v>108</v>
      </c>
      <c r="J93" s="190">
        <v>85</v>
      </c>
      <c r="K93" s="190" t="s">
        <v>706</v>
      </c>
      <c r="L93" s="190"/>
      <c r="M93" s="428"/>
      <c r="N93" s="79"/>
      <c r="O93"/>
      <c r="AB93" s="75"/>
      <c r="AC93" s="75"/>
      <c r="AD93" s="75"/>
      <c r="AE93" s="77">
        <v>4090200</v>
      </c>
      <c r="AF93" s="29" t="s">
        <v>789</v>
      </c>
      <c r="AG93" s="75" t="s">
        <v>635</v>
      </c>
      <c r="AH93" s="75"/>
      <c r="AI93" s="75"/>
      <c r="AJ93" s="75">
        <v>15</v>
      </c>
      <c r="AK93" s="75"/>
      <c r="AL93" s="75"/>
      <c r="AM93" s="75"/>
      <c r="AN93" s="75"/>
      <c r="AO93">
        <v>13</v>
      </c>
      <c r="AP93" s="75" t="s">
        <v>175</v>
      </c>
      <c r="AQ93" s="77"/>
      <c r="AR93" t="s">
        <v>86</v>
      </c>
      <c r="AS93" s="75" t="s">
        <v>631</v>
      </c>
      <c r="AT93" s="75"/>
    </row>
    <row r="94" spans="1:46" x14ac:dyDescent="0.25">
      <c r="A94" s="189" t="s">
        <v>521</v>
      </c>
      <c r="B94" s="190" t="s">
        <v>1203</v>
      </c>
      <c r="C94" s="190" t="s">
        <v>1244</v>
      </c>
      <c r="D94" s="190">
        <v>180</v>
      </c>
      <c r="E94" s="190"/>
      <c r="F94" s="190" t="s">
        <v>714</v>
      </c>
      <c r="G94" s="190" t="s">
        <v>558</v>
      </c>
      <c r="H94" s="190" t="s">
        <v>559</v>
      </c>
      <c r="I94" s="190" t="s">
        <v>108</v>
      </c>
      <c r="J94" s="190">
        <v>86</v>
      </c>
      <c r="K94" s="190" t="s">
        <v>706</v>
      </c>
      <c r="L94" s="190"/>
      <c r="M94" s="428"/>
      <c r="N94" s="79"/>
      <c r="O94"/>
      <c r="AE94" s="77">
        <v>4090300</v>
      </c>
      <c r="AF94" s="29" t="s">
        <v>789</v>
      </c>
      <c r="AG94" s="75" t="s">
        <v>636</v>
      </c>
      <c r="AH94" s="75"/>
      <c r="AI94" s="75"/>
      <c r="AJ94" s="75">
        <v>15</v>
      </c>
      <c r="AK94" s="75"/>
      <c r="AL94" s="75"/>
      <c r="AM94" s="75"/>
      <c r="AN94" s="75"/>
      <c r="AO94" s="75">
        <v>14</v>
      </c>
      <c r="AP94" s="75" t="s">
        <v>175</v>
      </c>
      <c r="AQ94" s="77"/>
      <c r="AR94" t="s">
        <v>86</v>
      </c>
      <c r="AS94" s="75" t="s">
        <v>631</v>
      </c>
    </row>
    <row r="95" spans="1:46" x14ac:dyDescent="0.25">
      <c r="A95" s="189" t="s">
        <v>521</v>
      </c>
      <c r="B95" s="190" t="s">
        <v>710</v>
      </c>
      <c r="C95" s="190" t="s">
        <v>152</v>
      </c>
      <c r="D95" s="190">
        <v>234</v>
      </c>
      <c r="E95" s="190"/>
      <c r="F95" s="190" t="s">
        <v>714</v>
      </c>
      <c r="G95" s="190" t="s">
        <v>558</v>
      </c>
      <c r="H95" s="190" t="s">
        <v>560</v>
      </c>
      <c r="I95" s="190" t="s">
        <v>108</v>
      </c>
      <c r="J95" s="190">
        <v>87</v>
      </c>
      <c r="K95" s="190" t="s">
        <v>706</v>
      </c>
      <c r="L95" s="190"/>
      <c r="M95" s="428"/>
      <c r="N95" s="79"/>
      <c r="O95"/>
      <c r="AE95" s="77">
        <v>4020300</v>
      </c>
      <c r="AF95" s="29" t="s">
        <v>789</v>
      </c>
      <c r="AG95" s="75" t="s">
        <v>633</v>
      </c>
      <c r="AH95" s="75"/>
      <c r="AI95" s="75"/>
      <c r="AJ95" s="75">
        <v>15</v>
      </c>
      <c r="AK95" s="75"/>
      <c r="AL95" s="75"/>
      <c r="AM95" s="75"/>
      <c r="AN95" s="75"/>
      <c r="AO95" s="75">
        <v>15</v>
      </c>
      <c r="AP95" s="75" t="s">
        <v>418</v>
      </c>
      <c r="AQ95" s="77"/>
      <c r="AR95" t="s">
        <v>86</v>
      </c>
      <c r="AS95" s="75" t="s">
        <v>631</v>
      </c>
    </row>
    <row r="96" spans="1:46" x14ac:dyDescent="0.25">
      <c r="A96" s="189" t="s">
        <v>521</v>
      </c>
      <c r="B96" s="190" t="s">
        <v>711</v>
      </c>
      <c r="C96" s="190" t="s">
        <v>153</v>
      </c>
      <c r="D96" s="190">
        <v>360</v>
      </c>
      <c r="E96" s="190"/>
      <c r="F96" s="190" t="s">
        <v>714</v>
      </c>
      <c r="G96" s="190" t="s">
        <v>558</v>
      </c>
      <c r="H96" s="190" t="s">
        <v>566</v>
      </c>
      <c r="I96" s="190" t="s">
        <v>108</v>
      </c>
      <c r="J96" s="190">
        <v>88</v>
      </c>
      <c r="K96" s="190" t="s">
        <v>707</v>
      </c>
      <c r="L96" s="190"/>
      <c r="M96" s="428"/>
      <c r="N96" s="79"/>
      <c r="O96"/>
      <c r="AE96" s="57">
        <v>4040500</v>
      </c>
      <c r="AF96" s="29" t="s">
        <v>789</v>
      </c>
      <c r="AG96" t="s">
        <v>796</v>
      </c>
      <c r="AH96" s="75"/>
      <c r="AI96" s="75"/>
      <c r="AJ96" s="75"/>
      <c r="AK96" s="75"/>
      <c r="AL96" s="75"/>
      <c r="AM96" s="75"/>
      <c r="AN96" s="75"/>
      <c r="AO96">
        <v>16</v>
      </c>
      <c r="AP96" s="75"/>
      <c r="AQ96" s="57"/>
      <c r="AR96" t="s">
        <v>86</v>
      </c>
      <c r="AS96" s="75" t="s">
        <v>631</v>
      </c>
    </row>
    <row r="97" spans="1:45" x14ac:dyDescent="0.25">
      <c r="A97" s="189" t="s">
        <v>521</v>
      </c>
      <c r="B97" s="190" t="s">
        <v>712</v>
      </c>
      <c r="C97" s="190" t="s">
        <v>154</v>
      </c>
      <c r="D97" s="190">
        <v>468</v>
      </c>
      <c r="E97" s="190"/>
      <c r="F97" s="190" t="s">
        <v>714</v>
      </c>
      <c r="G97" s="190" t="s">
        <v>558</v>
      </c>
      <c r="H97" s="190" t="s">
        <v>567</v>
      </c>
      <c r="I97" s="190" t="s">
        <v>108</v>
      </c>
      <c r="J97" s="190">
        <v>89</v>
      </c>
      <c r="K97" s="190" t="s">
        <v>707</v>
      </c>
      <c r="L97" s="190"/>
      <c r="M97" s="428"/>
      <c r="N97" s="79"/>
      <c r="O97"/>
      <c r="AE97" s="77"/>
      <c r="AF97" s="75"/>
      <c r="AG97" s="75"/>
      <c r="AH97" s="75"/>
      <c r="AI97" s="75"/>
      <c r="AJ97" s="75"/>
      <c r="AK97" s="75"/>
      <c r="AL97" s="75"/>
      <c r="AM97" s="75"/>
      <c r="AN97" s="75"/>
      <c r="AO97" s="75"/>
      <c r="AP97" s="75"/>
      <c r="AQ97" s="75"/>
      <c r="AR97" s="75"/>
      <c r="AS97" s="75"/>
    </row>
    <row r="98" spans="1:45" x14ac:dyDescent="0.25">
      <c r="A98" s="189" t="s">
        <v>521</v>
      </c>
      <c r="B98" s="190" t="s">
        <v>713</v>
      </c>
      <c r="C98" s="190" t="s">
        <v>155</v>
      </c>
      <c r="D98" s="190">
        <v>577</v>
      </c>
      <c r="E98" s="190"/>
      <c r="F98" s="190" t="s">
        <v>714</v>
      </c>
      <c r="G98" s="190" t="s">
        <v>558</v>
      </c>
      <c r="H98" s="190" t="s">
        <v>568</v>
      </c>
      <c r="I98" s="190" t="s">
        <v>108</v>
      </c>
      <c r="J98" s="190">
        <v>90</v>
      </c>
      <c r="K98" s="190"/>
      <c r="L98" s="190"/>
      <c r="M98" s="428"/>
      <c r="N98" s="79"/>
      <c r="O98"/>
      <c r="AE98" s="77" t="s">
        <v>92</v>
      </c>
      <c r="AF98" s="77" t="s">
        <v>775</v>
      </c>
      <c r="AG98" s="75" t="s">
        <v>645</v>
      </c>
      <c r="AH98" s="75" t="s">
        <v>646</v>
      </c>
      <c r="AI98" t="s">
        <v>790</v>
      </c>
      <c r="AJ98" s="75" t="s">
        <v>100</v>
      </c>
      <c r="AK98" s="75" t="s">
        <v>94</v>
      </c>
      <c r="AL98" s="75" t="s">
        <v>470</v>
      </c>
      <c r="AM98" s="75" t="s">
        <v>471</v>
      </c>
      <c r="AN98" s="75" t="s">
        <v>614</v>
      </c>
      <c r="AO98" s="75" t="s">
        <v>475</v>
      </c>
      <c r="AP98" s="75" t="s">
        <v>613</v>
      </c>
      <c r="AQ98" s="75" t="s">
        <v>460</v>
      </c>
      <c r="AR98" t="s">
        <v>837</v>
      </c>
      <c r="AS98" s="75" t="s">
        <v>612</v>
      </c>
    </row>
    <row r="99" spans="1:45" x14ac:dyDescent="0.25">
      <c r="A99" s="189"/>
      <c r="B99" s="190" t="s">
        <v>1038</v>
      </c>
      <c r="C99" s="190"/>
      <c r="D99" s="190" t="s">
        <v>658</v>
      </c>
      <c r="E99" s="190"/>
      <c r="F99" s="190"/>
      <c r="G99" s="190"/>
      <c r="H99" s="190"/>
      <c r="I99" s="190"/>
      <c r="J99" s="190">
        <v>91</v>
      </c>
      <c r="K99" s="190"/>
      <c r="L99" s="190"/>
      <c r="M99" s="428"/>
      <c r="N99" s="79"/>
      <c r="O99"/>
      <c r="AE99" s="77" t="s">
        <v>1489</v>
      </c>
      <c r="AF99" s="77" t="s">
        <v>773</v>
      </c>
      <c r="AG99" t="s">
        <v>819</v>
      </c>
      <c r="AH99" s="75"/>
      <c r="AI99" s="75"/>
      <c r="AJ99" s="75">
        <v>15</v>
      </c>
      <c r="AK99" s="75"/>
      <c r="AL99" s="75"/>
      <c r="AM99" s="75"/>
      <c r="AN99" s="75"/>
      <c r="AO99" s="75">
        <v>1</v>
      </c>
      <c r="AP99" s="75" t="s">
        <v>425</v>
      </c>
      <c r="AQ99" s="77"/>
      <c r="AR99" t="s">
        <v>722</v>
      </c>
      <c r="AS99" s="75" t="s">
        <v>637</v>
      </c>
    </row>
    <row r="100" spans="1:45" x14ac:dyDescent="0.25">
      <c r="A100" s="189" t="s">
        <v>528</v>
      </c>
      <c r="B100" s="190" t="s">
        <v>1982</v>
      </c>
      <c r="C100" s="190" t="s">
        <v>1245</v>
      </c>
      <c r="D100" s="190">
        <v>72</v>
      </c>
      <c r="E100" s="190"/>
      <c r="F100" s="190" t="s">
        <v>569</v>
      </c>
      <c r="G100" s="190" t="s">
        <v>581</v>
      </c>
      <c r="H100" s="190"/>
      <c r="I100" s="190" t="s">
        <v>108</v>
      </c>
      <c r="J100" s="190">
        <v>92</v>
      </c>
      <c r="K100" s="190" t="s">
        <v>707</v>
      </c>
      <c r="L100" s="190"/>
      <c r="M100" s="428"/>
      <c r="N100" s="79"/>
      <c r="O100"/>
      <c r="AE100" s="77" t="s">
        <v>1490</v>
      </c>
      <c r="AF100" s="77" t="s">
        <v>773</v>
      </c>
      <c r="AG100" t="s">
        <v>821</v>
      </c>
      <c r="AH100" s="75"/>
      <c r="AI100" s="75"/>
      <c r="AJ100" s="75">
        <v>15</v>
      </c>
      <c r="AK100" s="75"/>
      <c r="AL100" s="75"/>
      <c r="AM100" s="75"/>
      <c r="AN100" s="75"/>
      <c r="AO100" s="75">
        <v>2</v>
      </c>
      <c r="AP100" s="75" t="s">
        <v>425</v>
      </c>
      <c r="AQ100" s="77"/>
      <c r="AR100" t="s">
        <v>722</v>
      </c>
      <c r="AS100" s="75" t="s">
        <v>637</v>
      </c>
    </row>
    <row r="101" spans="1:45" x14ac:dyDescent="0.25">
      <c r="A101" s="189" t="s">
        <v>528</v>
      </c>
      <c r="B101" s="190" t="s">
        <v>1983</v>
      </c>
      <c r="C101" s="190" t="s">
        <v>699</v>
      </c>
      <c r="D101" s="190">
        <v>95</v>
      </c>
      <c r="E101" s="190"/>
      <c r="F101" s="190" t="s">
        <v>569</v>
      </c>
      <c r="G101" s="190" t="s">
        <v>570</v>
      </c>
      <c r="H101" s="190"/>
      <c r="I101" s="190" t="s">
        <v>108</v>
      </c>
      <c r="J101" s="190">
        <v>93</v>
      </c>
      <c r="K101" s="190" t="s">
        <v>706</v>
      </c>
      <c r="L101" s="190"/>
      <c r="M101" s="428"/>
      <c r="N101" s="79"/>
      <c r="O101"/>
      <c r="AE101" s="77" t="s">
        <v>1491</v>
      </c>
      <c r="AF101" s="77" t="s">
        <v>773</v>
      </c>
      <c r="AG101" t="s">
        <v>781</v>
      </c>
      <c r="AH101" s="75"/>
      <c r="AI101" s="75"/>
      <c r="AJ101" s="75">
        <v>10</v>
      </c>
      <c r="AK101" s="75"/>
      <c r="AL101" s="75"/>
      <c r="AM101" s="75"/>
      <c r="AN101" s="75"/>
      <c r="AO101" s="75">
        <v>3</v>
      </c>
      <c r="AP101" s="75" t="s">
        <v>111</v>
      </c>
      <c r="AQ101" s="77"/>
      <c r="AR101" t="s">
        <v>722</v>
      </c>
      <c r="AS101" s="75" t="s">
        <v>637</v>
      </c>
    </row>
    <row r="102" spans="1:45" x14ac:dyDescent="0.25">
      <c r="A102" s="189" t="s">
        <v>528</v>
      </c>
      <c r="B102" s="190" t="s">
        <v>1984</v>
      </c>
      <c r="C102" s="190" t="s">
        <v>700</v>
      </c>
      <c r="D102" s="190">
        <v>114</v>
      </c>
      <c r="E102" s="190"/>
      <c r="F102" s="190" t="s">
        <v>569</v>
      </c>
      <c r="G102" s="190" t="s">
        <v>571</v>
      </c>
      <c r="H102" s="190"/>
      <c r="I102" s="190" t="s">
        <v>108</v>
      </c>
      <c r="J102" s="190">
        <v>94</v>
      </c>
      <c r="K102" s="190" t="s">
        <v>706</v>
      </c>
      <c r="L102" s="190"/>
      <c r="M102" s="428"/>
      <c r="N102" s="79"/>
      <c r="O102"/>
      <c r="AE102" s="77" t="s">
        <v>1492</v>
      </c>
      <c r="AF102" s="77" t="s">
        <v>773</v>
      </c>
      <c r="AG102" t="s">
        <v>810</v>
      </c>
      <c r="AH102" s="75"/>
      <c r="AI102" s="75"/>
      <c r="AJ102" s="75">
        <v>15</v>
      </c>
      <c r="AK102" s="75"/>
      <c r="AL102" s="75"/>
      <c r="AM102" s="75"/>
      <c r="AN102" s="75"/>
      <c r="AO102" s="75">
        <v>4</v>
      </c>
      <c r="AP102" s="75" t="s">
        <v>425</v>
      </c>
      <c r="AQ102" s="77"/>
      <c r="AR102" t="s">
        <v>722</v>
      </c>
      <c r="AS102" s="75" t="s">
        <v>637</v>
      </c>
    </row>
    <row r="103" spans="1:45" x14ac:dyDescent="0.25">
      <c r="A103" s="189" t="s">
        <v>528</v>
      </c>
      <c r="B103" s="190" t="s">
        <v>1985</v>
      </c>
      <c r="C103" s="190" t="s">
        <v>1246</v>
      </c>
      <c r="D103" s="190">
        <v>190</v>
      </c>
      <c r="E103" s="190"/>
      <c r="F103" s="190" t="s">
        <v>569</v>
      </c>
      <c r="G103" s="190" t="s">
        <v>583</v>
      </c>
      <c r="H103" s="190"/>
      <c r="I103" s="190" t="s">
        <v>108</v>
      </c>
      <c r="J103" s="190">
        <v>95</v>
      </c>
      <c r="K103" s="190" t="s">
        <v>707</v>
      </c>
      <c r="L103" s="190"/>
      <c r="M103" s="428"/>
      <c r="N103" s="79"/>
      <c r="O103"/>
      <c r="AE103" s="77" t="s">
        <v>1484</v>
      </c>
      <c r="AF103" s="77" t="s">
        <v>773</v>
      </c>
      <c r="AG103" t="s">
        <v>811</v>
      </c>
      <c r="AH103" s="75"/>
      <c r="AI103" s="75"/>
      <c r="AJ103" s="75">
        <v>15</v>
      </c>
      <c r="AK103" s="75"/>
      <c r="AL103" s="75"/>
      <c r="AM103" s="75"/>
      <c r="AN103" s="75"/>
      <c r="AO103" s="75">
        <v>5</v>
      </c>
      <c r="AP103" s="75" t="s">
        <v>418</v>
      </c>
      <c r="AQ103" s="77"/>
      <c r="AR103" t="s">
        <v>722</v>
      </c>
      <c r="AS103" s="75" t="s">
        <v>637</v>
      </c>
    </row>
    <row r="104" spans="1:45" x14ac:dyDescent="0.25">
      <c r="A104" s="189" t="s">
        <v>528</v>
      </c>
      <c r="B104" s="190" t="s">
        <v>1986</v>
      </c>
      <c r="C104" s="190" t="s">
        <v>701</v>
      </c>
      <c r="D104" s="190">
        <v>199</v>
      </c>
      <c r="E104" s="190"/>
      <c r="F104" s="190" t="s">
        <v>569</v>
      </c>
      <c r="G104" s="190" t="s">
        <v>572</v>
      </c>
      <c r="H104" s="190"/>
      <c r="I104" s="190" t="s">
        <v>108</v>
      </c>
      <c r="J104" s="190">
        <v>96</v>
      </c>
      <c r="K104" s="190" t="s">
        <v>706</v>
      </c>
      <c r="L104" s="190"/>
      <c r="M104" s="428"/>
      <c r="N104" s="79"/>
      <c r="O104"/>
      <c r="AE104" s="77" t="s">
        <v>1493</v>
      </c>
      <c r="AF104" s="77" t="s">
        <v>773</v>
      </c>
      <c r="AG104" t="s">
        <v>782</v>
      </c>
      <c r="AH104" s="75"/>
      <c r="AI104" s="75"/>
      <c r="AJ104" s="75">
        <v>15</v>
      </c>
      <c r="AK104" s="75"/>
      <c r="AL104" s="75"/>
      <c r="AM104" s="75"/>
      <c r="AN104" s="75"/>
      <c r="AO104" s="75">
        <v>6</v>
      </c>
      <c r="AP104" s="75" t="s">
        <v>421</v>
      </c>
      <c r="AQ104" s="77"/>
      <c r="AR104" t="s">
        <v>722</v>
      </c>
      <c r="AS104" s="75" t="s">
        <v>637</v>
      </c>
    </row>
    <row r="105" spans="1:45" x14ac:dyDescent="0.25">
      <c r="A105" s="189" t="s">
        <v>528</v>
      </c>
      <c r="B105" s="190" t="s">
        <v>1987</v>
      </c>
      <c r="C105" s="190" t="s">
        <v>702</v>
      </c>
      <c r="D105" s="190">
        <v>284</v>
      </c>
      <c r="E105" s="190"/>
      <c r="F105" s="190" t="s">
        <v>569</v>
      </c>
      <c r="G105" s="190" t="s">
        <v>573</v>
      </c>
      <c r="H105" s="190"/>
      <c r="I105" s="190" t="s">
        <v>108</v>
      </c>
      <c r="J105" s="190">
        <v>97</v>
      </c>
      <c r="K105" s="190" t="s">
        <v>706</v>
      </c>
      <c r="L105" s="190"/>
      <c r="M105" s="428"/>
      <c r="N105" s="79"/>
      <c r="O105"/>
      <c r="AE105" s="57" t="s">
        <v>1494</v>
      </c>
      <c r="AF105" s="77" t="s">
        <v>773</v>
      </c>
      <c r="AG105" t="s">
        <v>1050</v>
      </c>
      <c r="AJ105">
        <v>15</v>
      </c>
      <c r="AO105" s="75">
        <v>7</v>
      </c>
      <c r="AP105" t="s">
        <v>425</v>
      </c>
      <c r="AQ105" s="57"/>
      <c r="AR105" t="s">
        <v>722</v>
      </c>
      <c r="AS105" s="75" t="s">
        <v>637</v>
      </c>
    </row>
    <row r="106" spans="1:45" x14ac:dyDescent="0.25">
      <c r="A106" s="189" t="s">
        <v>528</v>
      </c>
      <c r="B106" s="190" t="s">
        <v>1988</v>
      </c>
      <c r="C106" s="190" t="s">
        <v>703</v>
      </c>
      <c r="D106" s="190">
        <v>455</v>
      </c>
      <c r="E106" s="190"/>
      <c r="F106" s="190" t="s">
        <v>569</v>
      </c>
      <c r="G106" s="190" t="s">
        <v>574</v>
      </c>
      <c r="H106" s="190"/>
      <c r="I106" s="190" t="s">
        <v>108</v>
      </c>
      <c r="J106" s="190">
        <v>98</v>
      </c>
      <c r="K106" s="190" t="s">
        <v>706</v>
      </c>
      <c r="L106" s="190"/>
      <c r="M106" s="428"/>
      <c r="N106" s="79"/>
      <c r="O106"/>
      <c r="AE106" s="77" t="s">
        <v>1495</v>
      </c>
      <c r="AF106" s="77" t="s">
        <v>773</v>
      </c>
      <c r="AG106" t="s">
        <v>813</v>
      </c>
      <c r="AH106" s="75"/>
      <c r="AI106" s="75"/>
      <c r="AJ106" s="75">
        <v>15</v>
      </c>
      <c r="AK106" s="75"/>
      <c r="AL106" s="75"/>
      <c r="AM106" s="75"/>
      <c r="AN106" s="75"/>
      <c r="AO106" s="75">
        <v>8</v>
      </c>
      <c r="AP106" s="75" t="s">
        <v>111</v>
      </c>
      <c r="AQ106" s="77"/>
      <c r="AR106" t="s">
        <v>722</v>
      </c>
      <c r="AS106" s="75" t="s">
        <v>637</v>
      </c>
    </row>
    <row r="107" spans="1:45" x14ac:dyDescent="0.25">
      <c r="A107" s="189" t="s">
        <v>528</v>
      </c>
      <c r="B107" s="190" t="s">
        <v>1989</v>
      </c>
      <c r="C107" s="190" t="s">
        <v>704</v>
      </c>
      <c r="D107" s="190">
        <v>1080</v>
      </c>
      <c r="E107" s="190"/>
      <c r="F107" s="190" t="s">
        <v>569</v>
      </c>
      <c r="G107" s="190" t="s">
        <v>575</v>
      </c>
      <c r="H107" s="190"/>
      <c r="I107" s="190" t="s">
        <v>108</v>
      </c>
      <c r="J107" s="190">
        <v>99</v>
      </c>
      <c r="K107" s="190" t="s">
        <v>706</v>
      </c>
      <c r="L107" s="190"/>
      <c r="M107" s="428"/>
      <c r="N107" s="79"/>
      <c r="O107"/>
      <c r="AE107" s="77" t="s">
        <v>1496</v>
      </c>
      <c r="AF107" s="77" t="s">
        <v>773</v>
      </c>
      <c r="AG107" t="s">
        <v>812</v>
      </c>
      <c r="AH107" s="75"/>
      <c r="AI107" s="75"/>
      <c r="AJ107" s="75">
        <v>15</v>
      </c>
      <c r="AK107" s="75"/>
      <c r="AL107" s="75"/>
      <c r="AM107" s="75"/>
      <c r="AN107" s="75"/>
      <c r="AO107" s="75">
        <v>9</v>
      </c>
      <c r="AP107" s="75" t="s">
        <v>113</v>
      </c>
      <c r="AQ107" s="77"/>
      <c r="AR107" t="s">
        <v>722</v>
      </c>
      <c r="AS107" s="75" t="s">
        <v>637</v>
      </c>
    </row>
    <row r="108" spans="1:45" x14ac:dyDescent="0.25">
      <c r="A108" s="192" t="s">
        <v>528</v>
      </c>
      <c r="B108" t="s">
        <v>1990</v>
      </c>
      <c r="C108" s="193" t="s">
        <v>1266</v>
      </c>
      <c r="D108" s="193">
        <v>1610</v>
      </c>
      <c r="E108" s="193"/>
      <c r="F108" s="193" t="s">
        <v>569</v>
      </c>
      <c r="G108" s="193" t="s">
        <v>1267</v>
      </c>
      <c r="H108" s="193"/>
      <c r="I108" s="193" t="s">
        <v>108</v>
      </c>
      <c r="J108" s="190">
        <v>100</v>
      </c>
      <c r="K108" s="193" t="s">
        <v>707</v>
      </c>
      <c r="L108" s="193"/>
      <c r="M108" s="428"/>
      <c r="N108" s="79"/>
      <c r="O108"/>
      <c r="AE108" s="77" t="s">
        <v>1497</v>
      </c>
      <c r="AF108" s="77" t="s">
        <v>773</v>
      </c>
      <c r="AG108" t="s">
        <v>797</v>
      </c>
      <c r="AH108" s="75"/>
      <c r="AI108" s="75"/>
      <c r="AJ108" s="75"/>
      <c r="AK108" s="75"/>
      <c r="AL108" s="75"/>
      <c r="AM108" s="75"/>
      <c r="AN108" s="75"/>
      <c r="AO108" s="75">
        <v>10</v>
      </c>
      <c r="AP108" s="75"/>
      <c r="AQ108" s="77"/>
      <c r="AR108" t="s">
        <v>722</v>
      </c>
      <c r="AS108" s="75" t="s">
        <v>637</v>
      </c>
    </row>
    <row r="109" spans="1:45" x14ac:dyDescent="0.25">
      <c r="A109" s="57" t="s">
        <v>528</v>
      </c>
      <c r="B109" t="s">
        <v>1991</v>
      </c>
      <c r="C109" s="193" t="s">
        <v>1269</v>
      </c>
      <c r="D109" s="193">
        <v>2140</v>
      </c>
      <c r="E109" s="193"/>
      <c r="F109" s="193" t="s">
        <v>569</v>
      </c>
      <c r="G109" s="193" t="s">
        <v>1270</v>
      </c>
      <c r="H109" s="193"/>
      <c r="I109" s="193" t="s">
        <v>108</v>
      </c>
      <c r="J109" s="190">
        <v>101</v>
      </c>
      <c r="K109" s="193" t="s">
        <v>1207</v>
      </c>
      <c r="L109" s="193"/>
      <c r="M109" s="428"/>
      <c r="AE109" s="77">
        <v>4080100</v>
      </c>
      <c r="AF109" s="29" t="s">
        <v>789</v>
      </c>
      <c r="AG109" t="s">
        <v>818</v>
      </c>
      <c r="AH109" s="75"/>
      <c r="AI109" s="75"/>
      <c r="AJ109" s="75">
        <v>15</v>
      </c>
      <c r="AK109" s="75"/>
      <c r="AL109" s="75"/>
      <c r="AM109" s="75"/>
      <c r="AN109" s="75"/>
      <c r="AO109" s="75">
        <v>11</v>
      </c>
      <c r="AP109" s="75" t="s">
        <v>425</v>
      </c>
      <c r="AQ109" s="77"/>
      <c r="AR109" t="s">
        <v>86</v>
      </c>
      <c r="AS109" s="75" t="s">
        <v>637</v>
      </c>
    </row>
    <row r="110" spans="1:45" x14ac:dyDescent="0.25">
      <c r="A110" s="189" t="s">
        <v>541</v>
      </c>
      <c r="B110" s="190" t="s">
        <v>1992</v>
      </c>
      <c r="C110" s="190"/>
      <c r="D110" s="190">
        <v>85</v>
      </c>
      <c r="E110" s="190"/>
      <c r="F110" s="190"/>
      <c r="G110" s="190"/>
      <c r="H110" s="190"/>
      <c r="I110" s="190"/>
      <c r="J110" s="190">
        <v>102</v>
      </c>
      <c r="K110" s="190"/>
      <c r="L110" s="190"/>
      <c r="M110" s="428"/>
      <c r="AE110" s="77">
        <v>4080200</v>
      </c>
      <c r="AF110" s="29" t="s">
        <v>789</v>
      </c>
      <c r="AG110" t="s">
        <v>820</v>
      </c>
      <c r="AH110" s="75"/>
      <c r="AI110" s="75"/>
      <c r="AJ110" s="75">
        <v>15</v>
      </c>
      <c r="AK110" s="75"/>
      <c r="AL110" s="75"/>
      <c r="AM110" s="75"/>
      <c r="AN110" s="75"/>
      <c r="AO110" s="75">
        <v>12</v>
      </c>
      <c r="AP110" s="75" t="s">
        <v>425</v>
      </c>
      <c r="AQ110" s="77"/>
      <c r="AR110" t="s">
        <v>86</v>
      </c>
      <c r="AS110" s="75" t="s">
        <v>637</v>
      </c>
    </row>
    <row r="111" spans="1:45" x14ac:dyDescent="0.25">
      <c r="A111" s="189" t="s">
        <v>541</v>
      </c>
      <c r="B111" s="190" t="s">
        <v>1993</v>
      </c>
      <c r="C111" s="190"/>
      <c r="D111" s="190">
        <v>118</v>
      </c>
      <c r="E111" s="190"/>
      <c r="F111" s="190"/>
      <c r="G111" s="190"/>
      <c r="H111" s="190"/>
      <c r="I111" s="190"/>
      <c r="J111" s="190">
        <v>103</v>
      </c>
      <c r="K111" s="190"/>
      <c r="L111" s="190"/>
      <c r="M111" s="428"/>
      <c r="O111"/>
      <c r="AE111" s="77">
        <v>4052120</v>
      </c>
      <c r="AF111" s="29" t="s">
        <v>789</v>
      </c>
      <c r="AG111" s="75" t="s">
        <v>638</v>
      </c>
      <c r="AH111" s="75"/>
      <c r="AI111" s="75"/>
      <c r="AJ111" s="75">
        <v>10</v>
      </c>
      <c r="AK111" s="75"/>
      <c r="AL111" s="75"/>
      <c r="AM111" s="75"/>
      <c r="AN111" s="75"/>
      <c r="AO111" s="75">
        <v>13</v>
      </c>
      <c r="AP111" s="75" t="s">
        <v>111</v>
      </c>
      <c r="AQ111" s="77"/>
      <c r="AR111" t="s">
        <v>86</v>
      </c>
      <c r="AS111" s="75" t="s">
        <v>637</v>
      </c>
    </row>
    <row r="112" spans="1:45" x14ac:dyDescent="0.25">
      <c r="A112" s="189" t="s">
        <v>541</v>
      </c>
      <c r="B112" s="190" t="s">
        <v>1994</v>
      </c>
      <c r="C112" s="190"/>
      <c r="D112" s="190">
        <v>173</v>
      </c>
      <c r="E112" s="190"/>
      <c r="F112" s="190"/>
      <c r="G112" s="190"/>
      <c r="H112" s="190"/>
      <c r="I112" s="190"/>
      <c r="J112" s="190">
        <v>104</v>
      </c>
      <c r="K112" s="190"/>
      <c r="L112" s="190"/>
      <c r="M112" s="428"/>
      <c r="AE112" s="77">
        <v>4080800</v>
      </c>
      <c r="AF112" s="29" t="s">
        <v>789</v>
      </c>
      <c r="AG112" s="75" t="s">
        <v>639</v>
      </c>
      <c r="AH112" s="75"/>
      <c r="AI112" s="75"/>
      <c r="AJ112" s="75">
        <v>15</v>
      </c>
      <c r="AK112" s="75"/>
      <c r="AL112" s="75"/>
      <c r="AM112" s="75"/>
      <c r="AN112" s="75"/>
      <c r="AO112" s="75">
        <v>14</v>
      </c>
      <c r="AP112" s="75" t="s">
        <v>425</v>
      </c>
      <c r="AQ112" s="77"/>
      <c r="AR112" t="s">
        <v>86</v>
      </c>
      <c r="AS112" s="75" t="s">
        <v>637</v>
      </c>
    </row>
    <row r="113" spans="1:45" x14ac:dyDescent="0.25">
      <c r="A113" s="189" t="s">
        <v>541</v>
      </c>
      <c r="B113" s="190" t="s">
        <v>1995</v>
      </c>
      <c r="C113" s="190"/>
      <c r="D113" s="190">
        <v>208</v>
      </c>
      <c r="E113" s="190"/>
      <c r="F113" s="190"/>
      <c r="G113" s="190"/>
      <c r="H113" s="190"/>
      <c r="I113" s="190"/>
      <c r="J113" s="190">
        <v>105</v>
      </c>
      <c r="K113" s="190"/>
      <c r="L113" s="190"/>
      <c r="M113" s="428"/>
      <c r="AE113" s="77">
        <v>4020800</v>
      </c>
      <c r="AF113" s="29" t="s">
        <v>789</v>
      </c>
      <c r="AG113" s="75" t="s">
        <v>657</v>
      </c>
      <c r="AH113" s="75"/>
      <c r="AI113" s="75"/>
      <c r="AJ113" s="75">
        <v>15</v>
      </c>
      <c r="AK113" s="75"/>
      <c r="AL113" s="75"/>
      <c r="AM113" s="75"/>
      <c r="AN113" s="75"/>
      <c r="AO113" s="75">
        <v>15</v>
      </c>
      <c r="AP113" s="75" t="s">
        <v>418</v>
      </c>
      <c r="AQ113" s="77"/>
      <c r="AR113" t="s">
        <v>86</v>
      </c>
      <c r="AS113" s="75" t="s">
        <v>637</v>
      </c>
    </row>
    <row r="114" spans="1:45" x14ac:dyDescent="0.25">
      <c r="A114" s="189" t="s">
        <v>541</v>
      </c>
      <c r="B114" s="190" t="s">
        <v>1996</v>
      </c>
      <c r="C114" s="190"/>
      <c r="D114" s="190">
        <v>227</v>
      </c>
      <c r="E114" s="190"/>
      <c r="F114" s="190"/>
      <c r="G114" s="190"/>
      <c r="H114" s="190"/>
      <c r="I114" s="190"/>
      <c r="J114" s="190">
        <v>106</v>
      </c>
      <c r="K114" s="190"/>
      <c r="L114" s="190"/>
      <c r="M114" s="428"/>
      <c r="O114"/>
      <c r="AE114" s="77">
        <v>4052110</v>
      </c>
      <c r="AF114" s="29" t="s">
        <v>789</v>
      </c>
      <c r="AG114" s="75" t="s">
        <v>654</v>
      </c>
      <c r="AH114" s="75"/>
      <c r="AI114" s="75"/>
      <c r="AJ114" s="75">
        <v>15</v>
      </c>
      <c r="AK114" s="75"/>
      <c r="AL114" s="75"/>
      <c r="AM114" s="75"/>
      <c r="AN114" s="75"/>
      <c r="AO114" s="75">
        <v>16</v>
      </c>
      <c r="AP114" s="75" t="s">
        <v>421</v>
      </c>
      <c r="AQ114" s="77"/>
      <c r="AR114" t="s">
        <v>86</v>
      </c>
      <c r="AS114" s="75" t="s">
        <v>637</v>
      </c>
    </row>
    <row r="115" spans="1:45" x14ac:dyDescent="0.25">
      <c r="A115" s="57" t="s">
        <v>541</v>
      </c>
      <c r="B115" t="s">
        <v>1997</v>
      </c>
      <c r="C115" s="428"/>
      <c r="D115" s="428">
        <v>288</v>
      </c>
      <c r="E115" s="428"/>
      <c r="F115" s="428"/>
      <c r="G115" s="428"/>
      <c r="H115" s="428"/>
      <c r="I115" s="428"/>
      <c r="J115" s="190">
        <v>107</v>
      </c>
      <c r="K115" s="428"/>
      <c r="L115" s="428"/>
      <c r="M115" s="428"/>
      <c r="O115"/>
      <c r="AE115" s="57">
        <v>4080700</v>
      </c>
      <c r="AF115" s="29" t="s">
        <v>789</v>
      </c>
      <c r="AG115" t="s">
        <v>1042</v>
      </c>
      <c r="AJ115">
        <v>15</v>
      </c>
      <c r="AO115" s="75">
        <v>17</v>
      </c>
      <c r="AP115" t="s">
        <v>425</v>
      </c>
      <c r="AQ115" s="57"/>
      <c r="AR115" t="s">
        <v>86</v>
      </c>
      <c r="AS115" s="75" t="s">
        <v>637</v>
      </c>
    </row>
    <row r="116" spans="1:45" x14ac:dyDescent="0.25">
      <c r="A116" s="57" t="s">
        <v>541</v>
      </c>
      <c r="B116" t="s">
        <v>1998</v>
      </c>
      <c r="C116" s="428"/>
      <c r="D116" s="428">
        <v>364</v>
      </c>
      <c r="E116" s="428"/>
      <c r="F116" s="428"/>
      <c r="G116" s="428"/>
      <c r="H116" s="428"/>
      <c r="I116" s="428"/>
      <c r="J116" s="190">
        <v>108</v>
      </c>
      <c r="K116" s="428"/>
      <c r="L116" s="428"/>
      <c r="M116" s="428"/>
      <c r="O116"/>
      <c r="AE116" s="77">
        <v>4050800</v>
      </c>
      <c r="AF116" s="29" t="s">
        <v>789</v>
      </c>
      <c r="AG116" s="75" t="s">
        <v>641</v>
      </c>
      <c r="AH116" s="75"/>
      <c r="AI116" s="75"/>
      <c r="AJ116" s="75">
        <v>15</v>
      </c>
      <c r="AK116" s="75"/>
      <c r="AL116" s="75"/>
      <c r="AM116" s="75"/>
      <c r="AN116" s="75"/>
      <c r="AO116" s="75">
        <v>18</v>
      </c>
      <c r="AP116" s="75" t="s">
        <v>111</v>
      </c>
      <c r="AQ116" s="77"/>
      <c r="AR116" t="s">
        <v>86</v>
      </c>
      <c r="AS116" s="75" t="s">
        <v>637</v>
      </c>
    </row>
    <row r="117" spans="1:45" x14ac:dyDescent="0.25">
      <c r="A117" s="57" t="s">
        <v>541</v>
      </c>
      <c r="B117" t="s">
        <v>1999</v>
      </c>
      <c r="C117" s="428"/>
      <c r="D117" s="428">
        <v>398</v>
      </c>
      <c r="E117" s="428"/>
      <c r="F117" s="428"/>
      <c r="G117" s="428"/>
      <c r="H117" s="428"/>
      <c r="I117" s="428"/>
      <c r="J117" s="190">
        <v>109</v>
      </c>
      <c r="K117" s="428"/>
      <c r="L117" s="428"/>
      <c r="M117" s="428"/>
      <c r="O117"/>
      <c r="AE117" s="77">
        <v>4100400</v>
      </c>
      <c r="AF117" s="29" t="s">
        <v>789</v>
      </c>
      <c r="AG117" s="75" t="s">
        <v>640</v>
      </c>
      <c r="AH117" s="75"/>
      <c r="AI117" s="75"/>
      <c r="AJ117" s="75">
        <v>15</v>
      </c>
      <c r="AK117" s="75"/>
      <c r="AL117" s="75"/>
      <c r="AM117" s="75"/>
      <c r="AN117" s="75"/>
      <c r="AO117" s="75">
        <v>19</v>
      </c>
      <c r="AP117" s="75" t="s">
        <v>113</v>
      </c>
      <c r="AQ117" s="77"/>
      <c r="AR117" t="s">
        <v>86</v>
      </c>
      <c r="AS117" s="75" t="s">
        <v>637</v>
      </c>
    </row>
    <row r="118" spans="1:45" x14ac:dyDescent="0.25">
      <c r="A118" s="57" t="s">
        <v>541</v>
      </c>
      <c r="B118" t="s">
        <v>2000</v>
      </c>
      <c r="C118" s="428"/>
      <c r="D118" s="428">
        <v>456</v>
      </c>
      <c r="E118" s="428"/>
      <c r="F118" s="428"/>
      <c r="G118" s="428"/>
      <c r="H118" s="428"/>
      <c r="I118" s="428"/>
      <c r="J118" s="190">
        <v>110</v>
      </c>
      <c r="K118" s="428"/>
      <c r="L118" s="428"/>
      <c r="M118" s="428"/>
      <c r="O118"/>
      <c r="AE118" s="57">
        <v>4040400</v>
      </c>
      <c r="AF118" s="29" t="s">
        <v>789</v>
      </c>
      <c r="AG118" t="s">
        <v>796</v>
      </c>
      <c r="AH118" s="75"/>
      <c r="AI118" s="75"/>
      <c r="AJ118" s="75"/>
      <c r="AK118" s="75"/>
      <c r="AL118" s="75"/>
      <c r="AM118" s="75"/>
      <c r="AN118" s="75"/>
      <c r="AO118" s="75">
        <v>20</v>
      </c>
      <c r="AP118" s="75"/>
      <c r="AQ118" s="57"/>
      <c r="AR118" t="s">
        <v>86</v>
      </c>
      <c r="AS118" s="75" t="s">
        <v>637</v>
      </c>
    </row>
    <row r="119" spans="1:45" x14ac:dyDescent="0.25">
      <c r="A119" s="57" t="s">
        <v>541</v>
      </c>
      <c r="B119" t="s">
        <v>2001</v>
      </c>
      <c r="C119" s="428"/>
      <c r="D119" s="428">
        <v>1080</v>
      </c>
      <c r="E119" s="428"/>
      <c r="F119" s="428"/>
      <c r="G119" s="428"/>
      <c r="H119" s="428"/>
      <c r="I119" s="428"/>
      <c r="J119" s="190">
        <v>111</v>
      </c>
      <c r="K119" s="428"/>
      <c r="L119" s="428"/>
      <c r="M119" s="428"/>
      <c r="O119"/>
      <c r="AE119" s="77"/>
      <c r="AF119" s="75"/>
      <c r="AG119" s="75"/>
      <c r="AH119" s="75"/>
      <c r="AI119" s="75"/>
      <c r="AJ119" s="75"/>
      <c r="AK119" s="75"/>
      <c r="AL119" s="75"/>
      <c r="AM119" s="75"/>
      <c r="AN119" s="75"/>
      <c r="AO119" s="75"/>
      <c r="AP119" s="75"/>
      <c r="AQ119" s="75"/>
      <c r="AR119" s="75"/>
    </row>
    <row r="120" spans="1:45" x14ac:dyDescent="0.25">
      <c r="A120" s="427"/>
      <c r="B120" s="428" t="s">
        <v>1038</v>
      </c>
      <c r="C120" s="428"/>
      <c r="D120" s="428" t="s">
        <v>658</v>
      </c>
      <c r="E120" s="428"/>
      <c r="F120" s="428"/>
      <c r="G120" s="428"/>
      <c r="H120" s="428"/>
      <c r="I120" s="428"/>
      <c r="J120" s="190">
        <v>112</v>
      </c>
      <c r="K120" s="428"/>
      <c r="L120" s="428"/>
      <c r="M120" s="428"/>
      <c r="O120"/>
      <c r="AE120" s="77" t="s">
        <v>92</v>
      </c>
      <c r="AF120" s="77" t="s">
        <v>775</v>
      </c>
      <c r="AG120" s="75" t="s">
        <v>645</v>
      </c>
      <c r="AH120" s="75" t="s">
        <v>646</v>
      </c>
      <c r="AI120" t="s">
        <v>790</v>
      </c>
      <c r="AJ120" s="75" t="s">
        <v>100</v>
      </c>
      <c r="AK120" s="75" t="s">
        <v>94</v>
      </c>
      <c r="AL120" s="75" t="s">
        <v>470</v>
      </c>
      <c r="AM120" s="75" t="s">
        <v>471</v>
      </c>
      <c r="AN120" s="75" t="s">
        <v>614</v>
      </c>
      <c r="AO120" s="75" t="s">
        <v>475</v>
      </c>
      <c r="AP120" s="75" t="s">
        <v>613</v>
      </c>
      <c r="AQ120" s="75" t="s">
        <v>460</v>
      </c>
      <c r="AR120" t="s">
        <v>837</v>
      </c>
      <c r="AS120" s="75" t="s">
        <v>612</v>
      </c>
    </row>
    <row r="121" spans="1:45" x14ac:dyDescent="0.25">
      <c r="A121" s="427" t="s">
        <v>476</v>
      </c>
      <c r="B121" t="s">
        <v>2010</v>
      </c>
      <c r="C121" s="428" t="s">
        <v>690</v>
      </c>
      <c r="D121" s="428">
        <v>46</v>
      </c>
      <c r="E121" s="428"/>
      <c r="F121" s="428" t="s">
        <v>579</v>
      </c>
      <c r="G121" s="428" t="s">
        <v>580</v>
      </c>
      <c r="H121" s="428"/>
      <c r="I121" s="428" t="s">
        <v>108</v>
      </c>
      <c r="J121" s="190">
        <v>113</v>
      </c>
      <c r="K121" s="428" t="s">
        <v>706</v>
      </c>
      <c r="L121" s="428"/>
      <c r="M121" s="428"/>
      <c r="O121"/>
      <c r="AE121" s="77" t="s">
        <v>1498</v>
      </c>
      <c r="AF121" s="77" t="s">
        <v>773</v>
      </c>
      <c r="AG121" t="s">
        <v>815</v>
      </c>
      <c r="AH121" s="75"/>
      <c r="AI121" s="75"/>
      <c r="AJ121" s="75">
        <v>12</v>
      </c>
      <c r="AK121" s="75"/>
      <c r="AL121" s="75"/>
      <c r="AM121" s="75"/>
      <c r="AN121" s="75"/>
      <c r="AO121" s="75">
        <v>1</v>
      </c>
      <c r="AP121" s="75" t="s">
        <v>113</v>
      </c>
      <c r="AQ121" s="77"/>
      <c r="AR121" t="s">
        <v>722</v>
      </c>
      <c r="AS121" s="75" t="s">
        <v>113</v>
      </c>
    </row>
    <row r="122" spans="1:45" x14ac:dyDescent="0.25">
      <c r="A122" s="427" t="s">
        <v>476</v>
      </c>
      <c r="B122" t="s">
        <v>2011</v>
      </c>
      <c r="C122" s="428" t="s">
        <v>691</v>
      </c>
      <c r="D122" s="428">
        <v>66</v>
      </c>
      <c r="E122" s="428"/>
      <c r="F122" s="428" t="s">
        <v>579</v>
      </c>
      <c r="G122" s="428" t="s">
        <v>581</v>
      </c>
      <c r="H122" s="428"/>
      <c r="I122" s="428" t="s">
        <v>108</v>
      </c>
      <c r="J122" s="190">
        <v>114</v>
      </c>
      <c r="K122" s="428" t="s">
        <v>706</v>
      </c>
      <c r="L122" s="428"/>
      <c r="M122" s="428"/>
      <c r="O122"/>
      <c r="AE122" s="77" t="s">
        <v>1499</v>
      </c>
      <c r="AF122" s="77" t="s">
        <v>773</v>
      </c>
      <c r="AG122" t="s">
        <v>814</v>
      </c>
      <c r="AH122" s="75"/>
      <c r="AI122" s="75"/>
      <c r="AJ122" s="75">
        <v>12</v>
      </c>
      <c r="AK122" s="75"/>
      <c r="AL122" s="75"/>
      <c r="AM122" s="75"/>
      <c r="AN122" s="75"/>
      <c r="AO122" s="75">
        <v>2</v>
      </c>
      <c r="AP122" s="75" t="s">
        <v>113</v>
      </c>
      <c r="AQ122" s="77"/>
      <c r="AR122" t="s">
        <v>722</v>
      </c>
      <c r="AS122" s="75" t="s">
        <v>113</v>
      </c>
    </row>
    <row r="123" spans="1:45" x14ac:dyDescent="0.25">
      <c r="A123" s="427" t="s">
        <v>476</v>
      </c>
      <c r="B123" t="s">
        <v>2012</v>
      </c>
      <c r="C123" s="428" t="s">
        <v>692</v>
      </c>
      <c r="D123" s="428">
        <v>95</v>
      </c>
      <c r="E123" s="428"/>
      <c r="F123" s="428" t="s">
        <v>579</v>
      </c>
      <c r="G123" s="428" t="s">
        <v>582</v>
      </c>
      <c r="H123" s="428"/>
      <c r="I123" s="428" t="s">
        <v>108</v>
      </c>
      <c r="J123" s="190">
        <v>115</v>
      </c>
      <c r="K123" s="428" t="s">
        <v>706</v>
      </c>
      <c r="L123" s="428"/>
      <c r="M123" s="428"/>
      <c r="O123"/>
      <c r="AE123" s="77" t="s">
        <v>1496</v>
      </c>
      <c r="AF123" s="77" t="s">
        <v>773</v>
      </c>
      <c r="AG123" t="s">
        <v>812</v>
      </c>
      <c r="AH123" s="75"/>
      <c r="AI123" s="75"/>
      <c r="AJ123" s="75">
        <v>15</v>
      </c>
      <c r="AK123" s="75"/>
      <c r="AL123" s="75"/>
      <c r="AM123" s="75"/>
      <c r="AN123" s="75"/>
      <c r="AO123" s="75">
        <v>3</v>
      </c>
      <c r="AP123" s="75" t="s">
        <v>113</v>
      </c>
      <c r="AQ123" s="77"/>
      <c r="AR123" t="s">
        <v>722</v>
      </c>
      <c r="AS123" s="75" t="s">
        <v>113</v>
      </c>
    </row>
    <row r="124" spans="1:45" x14ac:dyDescent="0.25">
      <c r="A124" s="427" t="s">
        <v>476</v>
      </c>
      <c r="B124" t="s">
        <v>2013</v>
      </c>
      <c r="C124" s="428" t="s">
        <v>693</v>
      </c>
      <c r="D124" s="428">
        <v>138</v>
      </c>
      <c r="E124" s="428"/>
      <c r="F124" s="428" t="s">
        <v>579</v>
      </c>
      <c r="G124" s="428" t="s">
        <v>571</v>
      </c>
      <c r="H124" s="428"/>
      <c r="I124" s="428" t="s">
        <v>108</v>
      </c>
      <c r="J124" s="190">
        <v>116</v>
      </c>
      <c r="K124" s="428" t="s">
        <v>706</v>
      </c>
      <c r="L124" s="428"/>
      <c r="M124" s="428"/>
      <c r="O124"/>
      <c r="AE124" s="77" t="s">
        <v>1500</v>
      </c>
      <c r="AF124" s="77" t="s">
        <v>773</v>
      </c>
      <c r="AG124" t="s">
        <v>817</v>
      </c>
      <c r="AH124" s="75"/>
      <c r="AI124" s="75"/>
      <c r="AJ124" s="75">
        <v>12</v>
      </c>
      <c r="AK124" s="75"/>
      <c r="AL124" s="75"/>
      <c r="AM124" s="75"/>
      <c r="AN124" s="75"/>
      <c r="AO124" s="75">
        <v>4</v>
      </c>
      <c r="AP124" s="75" t="s">
        <v>113</v>
      </c>
      <c r="AQ124" s="77"/>
      <c r="AR124" t="s">
        <v>722</v>
      </c>
      <c r="AS124" s="75" t="s">
        <v>113</v>
      </c>
    </row>
    <row r="125" spans="1:45" x14ac:dyDescent="0.25">
      <c r="A125" s="427" t="s">
        <v>476</v>
      </c>
      <c r="B125" t="s">
        <v>2014</v>
      </c>
      <c r="C125" s="428" t="s">
        <v>694</v>
      </c>
      <c r="D125" s="428">
        <v>188</v>
      </c>
      <c r="E125" s="428"/>
      <c r="F125" s="428" t="s">
        <v>579</v>
      </c>
      <c r="G125" s="428" t="s">
        <v>583</v>
      </c>
      <c r="H125" s="428"/>
      <c r="I125" s="428" t="s">
        <v>108</v>
      </c>
      <c r="J125" s="190">
        <v>117</v>
      </c>
      <c r="K125" s="428" t="s">
        <v>706</v>
      </c>
      <c r="L125" s="428"/>
      <c r="M125" s="428"/>
      <c r="O125"/>
      <c r="AE125" s="77" t="s">
        <v>1501</v>
      </c>
      <c r="AF125" s="77" t="s">
        <v>773</v>
      </c>
      <c r="AG125" t="s">
        <v>816</v>
      </c>
      <c r="AH125" s="75"/>
      <c r="AI125" s="75"/>
      <c r="AJ125" s="75">
        <v>12</v>
      </c>
      <c r="AK125" s="75"/>
      <c r="AL125" s="75"/>
      <c r="AM125" s="75"/>
      <c r="AN125" s="75"/>
      <c r="AO125" s="75">
        <v>5</v>
      </c>
      <c r="AP125" s="75" t="s">
        <v>113</v>
      </c>
      <c r="AQ125" s="77"/>
      <c r="AR125" t="s">
        <v>722</v>
      </c>
      <c r="AS125" s="75" t="s">
        <v>113</v>
      </c>
    </row>
    <row r="126" spans="1:45" x14ac:dyDescent="0.25">
      <c r="A126" s="427" t="s">
        <v>476</v>
      </c>
      <c r="B126" t="s">
        <v>2015</v>
      </c>
      <c r="C126" s="428" t="s">
        <v>695</v>
      </c>
      <c r="D126" s="428">
        <v>250</v>
      </c>
      <c r="E126" s="428"/>
      <c r="F126" s="428" t="s">
        <v>579</v>
      </c>
      <c r="G126" s="428" t="s">
        <v>577</v>
      </c>
      <c r="H126" s="428"/>
      <c r="I126" s="428" t="s">
        <v>108</v>
      </c>
      <c r="J126" s="190">
        <v>118</v>
      </c>
      <c r="K126" s="428" t="s">
        <v>706</v>
      </c>
      <c r="L126" s="428"/>
      <c r="M126" s="428"/>
      <c r="O126"/>
      <c r="AE126" s="77" t="s">
        <v>1502</v>
      </c>
      <c r="AF126" s="77" t="s">
        <v>773</v>
      </c>
      <c r="AG126" t="s">
        <v>1082</v>
      </c>
      <c r="AH126" s="75"/>
      <c r="AI126" s="75"/>
      <c r="AJ126" s="75">
        <v>15</v>
      </c>
      <c r="AK126" s="75"/>
      <c r="AL126" s="75"/>
      <c r="AM126" s="75"/>
      <c r="AN126" s="75"/>
      <c r="AO126" s="75">
        <v>6</v>
      </c>
      <c r="AP126" s="75" t="s">
        <v>113</v>
      </c>
      <c r="AQ126" s="77"/>
      <c r="AR126" t="s">
        <v>722</v>
      </c>
      <c r="AS126" s="75" t="s">
        <v>113</v>
      </c>
    </row>
    <row r="127" spans="1:45" x14ac:dyDescent="0.25">
      <c r="A127" s="427" t="s">
        <v>476</v>
      </c>
      <c r="B127" t="s">
        <v>2016</v>
      </c>
      <c r="C127" s="428" t="s">
        <v>696</v>
      </c>
      <c r="D127" s="428">
        <v>295</v>
      </c>
      <c r="E127" s="428"/>
      <c r="F127" s="428" t="s">
        <v>579</v>
      </c>
      <c r="G127" s="428" t="s">
        <v>573</v>
      </c>
      <c r="H127" s="428"/>
      <c r="I127" s="428" t="s">
        <v>108</v>
      </c>
      <c r="J127" s="190">
        <v>119</v>
      </c>
      <c r="K127" s="428" t="s">
        <v>706</v>
      </c>
      <c r="L127" s="428"/>
      <c r="M127" s="428"/>
      <c r="O127"/>
      <c r="AE127" s="77" t="s">
        <v>1503</v>
      </c>
      <c r="AF127" s="77" t="s">
        <v>773</v>
      </c>
      <c r="AG127" t="s">
        <v>797</v>
      </c>
      <c r="AH127" s="75"/>
      <c r="AI127" s="75"/>
      <c r="AJ127" s="75"/>
      <c r="AK127" s="75"/>
      <c r="AL127" s="75"/>
      <c r="AM127" s="75"/>
      <c r="AN127" s="75"/>
      <c r="AO127" s="75">
        <v>7</v>
      </c>
      <c r="AP127" s="75"/>
      <c r="AQ127" s="77"/>
      <c r="AR127" t="s">
        <v>722</v>
      </c>
      <c r="AS127" s="75" t="s">
        <v>113</v>
      </c>
    </row>
    <row r="128" spans="1:45" x14ac:dyDescent="0.25">
      <c r="A128" s="427" t="s">
        <v>476</v>
      </c>
      <c r="B128" t="s">
        <v>2017</v>
      </c>
      <c r="C128" s="428" t="s">
        <v>697</v>
      </c>
      <c r="D128" s="428">
        <v>465</v>
      </c>
      <c r="E128" s="428"/>
      <c r="F128" s="428" t="s">
        <v>579</v>
      </c>
      <c r="G128" s="428" t="s">
        <v>574</v>
      </c>
      <c r="H128" s="428"/>
      <c r="I128" s="428" t="s">
        <v>108</v>
      </c>
      <c r="J128" s="190">
        <v>120</v>
      </c>
      <c r="K128" s="428" t="s">
        <v>706</v>
      </c>
      <c r="L128" s="428"/>
      <c r="M128" s="428"/>
      <c r="O128"/>
      <c r="AE128" s="77" t="s">
        <v>1504</v>
      </c>
      <c r="AF128" s="29" t="s">
        <v>789</v>
      </c>
      <c r="AG128" s="75" t="s">
        <v>653</v>
      </c>
      <c r="AH128" s="75"/>
      <c r="AI128" s="75"/>
      <c r="AJ128" s="75">
        <v>12</v>
      </c>
      <c r="AK128" s="75"/>
      <c r="AL128" s="75"/>
      <c r="AM128" s="75"/>
      <c r="AN128" s="75"/>
      <c r="AO128" s="75">
        <v>8</v>
      </c>
      <c r="AP128" s="75" t="s">
        <v>113</v>
      </c>
      <c r="AQ128" s="77"/>
      <c r="AR128" t="s">
        <v>86</v>
      </c>
      <c r="AS128" s="75" t="s">
        <v>113</v>
      </c>
    </row>
    <row r="129" spans="1:45" x14ac:dyDescent="0.25">
      <c r="A129" s="427" t="s">
        <v>476</v>
      </c>
      <c r="B129" t="s">
        <v>2018</v>
      </c>
      <c r="C129" s="428" t="s">
        <v>698</v>
      </c>
      <c r="D129" s="428">
        <v>1100</v>
      </c>
      <c r="E129" s="428"/>
      <c r="F129" s="428" t="s">
        <v>579</v>
      </c>
      <c r="G129" s="428" t="s">
        <v>575</v>
      </c>
      <c r="H129" s="428"/>
      <c r="I129" s="428" t="s">
        <v>108</v>
      </c>
      <c r="J129" s="190">
        <v>121</v>
      </c>
      <c r="K129" s="428" t="s">
        <v>706</v>
      </c>
      <c r="L129" s="428"/>
      <c r="M129" s="428"/>
      <c r="O129"/>
      <c r="AE129" s="77" t="s">
        <v>1505</v>
      </c>
      <c r="AF129" s="29" t="s">
        <v>789</v>
      </c>
      <c r="AG129" s="75" t="s">
        <v>652</v>
      </c>
      <c r="AH129" s="75"/>
      <c r="AI129" s="75"/>
      <c r="AJ129" s="75">
        <v>12</v>
      </c>
      <c r="AK129" s="75"/>
      <c r="AL129" s="75"/>
      <c r="AM129" s="75"/>
      <c r="AN129" s="75"/>
      <c r="AO129" s="75">
        <v>9</v>
      </c>
      <c r="AP129" s="75" t="s">
        <v>113</v>
      </c>
      <c r="AQ129" s="77"/>
      <c r="AR129" t="s">
        <v>86</v>
      </c>
      <c r="AS129" s="75" t="s">
        <v>113</v>
      </c>
    </row>
    <row r="130" spans="1:45" x14ac:dyDescent="0.25">
      <c r="A130" s="427"/>
      <c r="B130" s="428" t="s">
        <v>1038</v>
      </c>
      <c r="C130" s="428"/>
      <c r="D130" s="428" t="s">
        <v>658</v>
      </c>
      <c r="E130" s="428"/>
      <c r="F130" s="428"/>
      <c r="G130" s="428"/>
      <c r="H130" s="428"/>
      <c r="I130" s="428" t="s">
        <v>108</v>
      </c>
      <c r="J130" s="190">
        <v>122</v>
      </c>
      <c r="K130" s="428"/>
      <c r="L130" s="428"/>
      <c r="M130" s="428"/>
      <c r="O130"/>
      <c r="AE130" s="77" t="s">
        <v>1506</v>
      </c>
      <c r="AF130" s="29" t="s">
        <v>789</v>
      </c>
      <c r="AG130" s="75" t="s">
        <v>640</v>
      </c>
      <c r="AH130" s="75"/>
      <c r="AI130" s="75"/>
      <c r="AJ130" s="75">
        <v>15</v>
      </c>
      <c r="AK130" s="75"/>
      <c r="AL130" s="75"/>
      <c r="AM130" s="75"/>
      <c r="AN130" s="75"/>
      <c r="AO130" s="75">
        <v>10</v>
      </c>
      <c r="AP130" s="75" t="s">
        <v>113</v>
      </c>
      <c r="AQ130" s="77"/>
      <c r="AR130" t="s">
        <v>86</v>
      </c>
      <c r="AS130" s="75" t="s">
        <v>113</v>
      </c>
    </row>
    <row r="131" spans="1:45" x14ac:dyDescent="0.25">
      <c r="A131" s="427" t="s">
        <v>531</v>
      </c>
      <c r="B131" t="s">
        <v>2002</v>
      </c>
      <c r="C131" s="428" t="s">
        <v>683</v>
      </c>
      <c r="D131" s="428">
        <v>50</v>
      </c>
      <c r="E131" s="428"/>
      <c r="F131" s="428" t="s">
        <v>584</v>
      </c>
      <c r="G131" s="428" t="s">
        <v>585</v>
      </c>
      <c r="H131" s="428"/>
      <c r="I131" s="428" t="s">
        <v>108</v>
      </c>
      <c r="J131" s="190">
        <v>123</v>
      </c>
      <c r="K131" s="428" t="s">
        <v>706</v>
      </c>
      <c r="L131" s="428"/>
      <c r="M131" s="428"/>
      <c r="O131"/>
      <c r="AE131" s="57" t="s">
        <v>1522</v>
      </c>
      <c r="AF131" s="29" t="s">
        <v>789</v>
      </c>
      <c r="AG131" s="75" t="s">
        <v>643</v>
      </c>
      <c r="AH131" s="75"/>
      <c r="AI131" s="75"/>
      <c r="AJ131" s="75">
        <v>12</v>
      </c>
      <c r="AK131" s="75"/>
      <c r="AL131" s="75"/>
      <c r="AM131" s="75"/>
      <c r="AN131" s="75"/>
      <c r="AO131" s="75">
        <v>11</v>
      </c>
      <c r="AP131" s="75" t="s">
        <v>113</v>
      </c>
      <c r="AQ131" s="77"/>
      <c r="AR131" t="s">
        <v>86</v>
      </c>
      <c r="AS131" s="75" t="s">
        <v>113</v>
      </c>
    </row>
    <row r="132" spans="1:45" x14ac:dyDescent="0.25">
      <c r="A132" s="427" t="s">
        <v>531</v>
      </c>
      <c r="B132" t="s">
        <v>2003</v>
      </c>
      <c r="C132" s="428" t="s">
        <v>684</v>
      </c>
      <c r="D132" s="428">
        <v>74</v>
      </c>
      <c r="E132" s="428"/>
      <c r="F132" s="428" t="s">
        <v>584</v>
      </c>
      <c r="G132" s="428" t="s">
        <v>581</v>
      </c>
      <c r="H132" s="428"/>
      <c r="I132" s="428" t="s">
        <v>108</v>
      </c>
      <c r="J132" s="190">
        <v>124</v>
      </c>
      <c r="K132" s="428" t="s">
        <v>706</v>
      </c>
      <c r="L132" s="428"/>
      <c r="M132" s="428"/>
      <c r="O132"/>
      <c r="AE132" s="57" t="s">
        <v>1523</v>
      </c>
      <c r="AF132" s="29" t="s">
        <v>789</v>
      </c>
      <c r="AG132" s="75" t="s">
        <v>642</v>
      </c>
      <c r="AH132" s="75"/>
      <c r="AI132" s="75"/>
      <c r="AJ132" s="75">
        <v>12</v>
      </c>
      <c r="AK132" s="75"/>
      <c r="AL132" s="75"/>
      <c r="AM132" s="75"/>
      <c r="AN132" s="75"/>
      <c r="AO132" s="75">
        <v>12</v>
      </c>
      <c r="AP132" s="75" t="s">
        <v>113</v>
      </c>
      <c r="AQ132" s="77"/>
      <c r="AR132" t="s">
        <v>86</v>
      </c>
      <c r="AS132" s="75" t="s">
        <v>113</v>
      </c>
    </row>
    <row r="133" spans="1:45" x14ac:dyDescent="0.25">
      <c r="A133" s="427" t="s">
        <v>531</v>
      </c>
      <c r="B133" t="s">
        <v>2004</v>
      </c>
      <c r="C133" s="428" t="s">
        <v>685</v>
      </c>
      <c r="D133" s="428">
        <v>93</v>
      </c>
      <c r="E133" s="428"/>
      <c r="F133" s="428" t="s">
        <v>584</v>
      </c>
      <c r="G133" s="428" t="s">
        <v>586</v>
      </c>
      <c r="H133" s="428"/>
      <c r="I133" s="428" t="s">
        <v>108</v>
      </c>
      <c r="J133" s="190">
        <v>125</v>
      </c>
      <c r="K133" s="428" t="s">
        <v>706</v>
      </c>
      <c r="L133" s="428"/>
      <c r="M133" s="428"/>
      <c r="O133"/>
      <c r="AE133" s="57" t="s">
        <v>1524</v>
      </c>
      <c r="AF133" s="29" t="s">
        <v>789</v>
      </c>
      <c r="AG133" t="s">
        <v>1104</v>
      </c>
      <c r="AH133" s="75"/>
      <c r="AI133" s="75"/>
      <c r="AJ133" s="75">
        <v>15</v>
      </c>
      <c r="AK133" s="75"/>
      <c r="AL133" s="75"/>
      <c r="AM133" s="75"/>
      <c r="AN133" s="75"/>
      <c r="AO133" s="75">
        <v>13</v>
      </c>
      <c r="AP133" s="75" t="s">
        <v>113</v>
      </c>
      <c r="AQ133" s="77"/>
      <c r="AR133" t="s">
        <v>86</v>
      </c>
      <c r="AS133" s="75" t="s">
        <v>113</v>
      </c>
    </row>
    <row r="134" spans="1:45" x14ac:dyDescent="0.25">
      <c r="A134" s="189" t="s">
        <v>531</v>
      </c>
      <c r="B134" s="190" t="s">
        <v>2005</v>
      </c>
      <c r="C134" s="190" t="s">
        <v>686</v>
      </c>
      <c r="D134" s="190">
        <v>125</v>
      </c>
      <c r="E134" s="190"/>
      <c r="F134" s="190" t="s">
        <v>584</v>
      </c>
      <c r="G134" s="190" t="s">
        <v>571</v>
      </c>
      <c r="H134" s="190"/>
      <c r="I134" s="190" t="s">
        <v>108</v>
      </c>
      <c r="J134" s="190">
        <v>126</v>
      </c>
      <c r="K134" s="190" t="s">
        <v>706</v>
      </c>
      <c r="L134" s="190"/>
      <c r="M134" s="428"/>
      <c r="O134"/>
      <c r="AE134" s="57" t="s">
        <v>1525</v>
      </c>
      <c r="AF134" s="29" t="s">
        <v>789</v>
      </c>
      <c r="AG134" t="s">
        <v>796</v>
      </c>
      <c r="AH134" s="75"/>
      <c r="AI134" s="75"/>
      <c r="AJ134" s="75"/>
      <c r="AK134" s="75"/>
      <c r="AL134" s="75"/>
      <c r="AM134" s="75"/>
      <c r="AN134" s="75"/>
      <c r="AO134" s="75">
        <v>14</v>
      </c>
      <c r="AP134" s="75"/>
      <c r="AQ134" s="57"/>
      <c r="AR134" t="s">
        <v>86</v>
      </c>
      <c r="AS134" s="75" t="s">
        <v>113</v>
      </c>
    </row>
    <row r="135" spans="1:45" x14ac:dyDescent="0.25">
      <c r="A135" s="189" t="s">
        <v>531</v>
      </c>
      <c r="B135" s="190" t="s">
        <v>2006</v>
      </c>
      <c r="C135" s="190" t="s">
        <v>687</v>
      </c>
      <c r="D135" s="190">
        <v>205</v>
      </c>
      <c r="E135" s="190"/>
      <c r="F135" s="190" t="s">
        <v>584</v>
      </c>
      <c r="G135" s="190" t="s">
        <v>572</v>
      </c>
      <c r="H135" s="190"/>
      <c r="I135" s="190" t="s">
        <v>108</v>
      </c>
      <c r="J135" s="190">
        <v>127</v>
      </c>
      <c r="K135" s="190" t="s">
        <v>706</v>
      </c>
      <c r="L135" s="190"/>
      <c r="M135" s="428"/>
      <c r="O135"/>
      <c r="AE135" s="77"/>
      <c r="AF135" s="75"/>
      <c r="AG135" s="75"/>
      <c r="AH135" s="75"/>
      <c r="AI135" s="75"/>
      <c r="AJ135" s="75"/>
      <c r="AK135" s="75"/>
      <c r="AL135" s="75"/>
      <c r="AM135" s="75"/>
      <c r="AN135" s="75"/>
      <c r="AO135" s="75"/>
      <c r="AP135" s="75"/>
      <c r="AQ135" s="75"/>
      <c r="AR135" s="75"/>
    </row>
    <row r="136" spans="1:45" x14ac:dyDescent="0.25">
      <c r="A136" s="189" t="s">
        <v>531</v>
      </c>
      <c r="B136" s="190" t="s">
        <v>2007</v>
      </c>
      <c r="C136" s="190" t="s">
        <v>688</v>
      </c>
      <c r="D136" s="190">
        <v>290</v>
      </c>
      <c r="E136" s="190"/>
      <c r="F136" s="190" t="s">
        <v>584</v>
      </c>
      <c r="G136" s="190" t="s">
        <v>573</v>
      </c>
      <c r="H136" s="190"/>
      <c r="I136" s="190" t="s">
        <v>108</v>
      </c>
      <c r="J136" s="190">
        <v>128</v>
      </c>
      <c r="K136" s="190" t="s">
        <v>706</v>
      </c>
      <c r="L136" s="190"/>
      <c r="M136" s="428"/>
      <c r="O136"/>
      <c r="AE136" s="77" t="s">
        <v>92</v>
      </c>
      <c r="AF136" s="77" t="s">
        <v>775</v>
      </c>
      <c r="AG136" s="75" t="s">
        <v>645</v>
      </c>
      <c r="AH136" s="75" t="s">
        <v>646</v>
      </c>
      <c r="AI136" t="s">
        <v>790</v>
      </c>
      <c r="AJ136" s="75" t="s">
        <v>100</v>
      </c>
      <c r="AK136" s="75" t="s">
        <v>94</v>
      </c>
      <c r="AL136" s="75" t="s">
        <v>470</v>
      </c>
      <c r="AM136" s="75" t="s">
        <v>471</v>
      </c>
      <c r="AN136" s="75" t="s">
        <v>614</v>
      </c>
      <c r="AO136" s="75" t="s">
        <v>475</v>
      </c>
      <c r="AP136" s="75" t="s">
        <v>613</v>
      </c>
      <c r="AQ136" s="75" t="s">
        <v>460</v>
      </c>
      <c r="AR136" t="s">
        <v>837</v>
      </c>
      <c r="AS136" s="75" t="s">
        <v>612</v>
      </c>
    </row>
    <row r="137" spans="1:45" x14ac:dyDescent="0.25">
      <c r="A137" s="189" t="s">
        <v>531</v>
      </c>
      <c r="B137" s="190" t="s">
        <v>2008</v>
      </c>
      <c r="C137" s="190" t="s">
        <v>689</v>
      </c>
      <c r="D137" s="190">
        <v>455</v>
      </c>
      <c r="E137" s="190"/>
      <c r="F137" s="190" t="s">
        <v>584</v>
      </c>
      <c r="G137" s="190" t="s">
        <v>574</v>
      </c>
      <c r="H137" s="190"/>
      <c r="I137" s="190" t="s">
        <v>108</v>
      </c>
      <c r="J137" s="190">
        <v>129</v>
      </c>
      <c r="K137" s="190" t="s">
        <v>706</v>
      </c>
      <c r="L137" s="190"/>
      <c r="M137" s="428"/>
      <c r="O137"/>
      <c r="AE137" s="57" t="s">
        <v>1519</v>
      </c>
      <c r="AF137" s="77" t="s">
        <v>773</v>
      </c>
      <c r="AG137" t="s">
        <v>786</v>
      </c>
      <c r="AH137" s="75"/>
      <c r="AI137" s="75"/>
      <c r="AJ137" s="75">
        <v>20</v>
      </c>
      <c r="AK137" s="75"/>
      <c r="AL137" s="75"/>
      <c r="AM137" s="75"/>
      <c r="AN137" s="75"/>
      <c r="AO137" s="75">
        <v>1</v>
      </c>
      <c r="AP137" s="75" t="s">
        <v>419</v>
      </c>
      <c r="AQ137" s="77"/>
      <c r="AR137" t="s">
        <v>722</v>
      </c>
      <c r="AS137" s="75" t="s">
        <v>424</v>
      </c>
    </row>
    <row r="138" spans="1:45" x14ac:dyDescent="0.25">
      <c r="A138" s="189" t="s">
        <v>531</v>
      </c>
      <c r="B138" s="190" t="s">
        <v>2009</v>
      </c>
      <c r="C138" s="190" t="s">
        <v>1248</v>
      </c>
      <c r="D138" s="190">
        <v>1075</v>
      </c>
      <c r="E138" s="190"/>
      <c r="F138" s="190" t="s">
        <v>584</v>
      </c>
      <c r="G138" s="190" t="s">
        <v>575</v>
      </c>
      <c r="H138" s="190"/>
      <c r="I138" s="190" t="s">
        <v>108</v>
      </c>
      <c r="J138" s="190">
        <v>130</v>
      </c>
      <c r="K138" s="190" t="s">
        <v>707</v>
      </c>
      <c r="L138" s="190"/>
      <c r="M138" s="428"/>
      <c r="O138"/>
      <c r="AE138" s="57" t="s">
        <v>1520</v>
      </c>
      <c r="AF138" s="77" t="s">
        <v>773</v>
      </c>
      <c r="AG138" t="s">
        <v>787</v>
      </c>
      <c r="AH138" s="75"/>
      <c r="AI138" s="75"/>
      <c r="AJ138" s="75">
        <v>10</v>
      </c>
      <c r="AK138" s="75"/>
      <c r="AL138" s="75"/>
      <c r="AM138" s="75"/>
      <c r="AN138" s="75"/>
      <c r="AO138" s="75">
        <v>2</v>
      </c>
      <c r="AP138" s="75" t="s">
        <v>419</v>
      </c>
      <c r="AQ138" s="77"/>
      <c r="AR138" t="s">
        <v>722</v>
      </c>
      <c r="AS138" s="75" t="s">
        <v>424</v>
      </c>
    </row>
    <row r="139" spans="1:45" x14ac:dyDescent="0.25">
      <c r="A139" s="77"/>
      <c r="B139" t="s">
        <v>1038</v>
      </c>
      <c r="C139" s="75"/>
      <c r="D139" s="75" t="s">
        <v>658</v>
      </c>
      <c r="E139" s="75"/>
      <c r="F139" s="75"/>
      <c r="G139" s="75"/>
      <c r="H139" s="75"/>
      <c r="I139" s="75"/>
      <c r="J139" s="190">
        <v>131</v>
      </c>
      <c r="K139" s="75"/>
      <c r="L139" s="75"/>
      <c r="M139" s="428"/>
      <c r="O139"/>
      <c r="AE139" s="57" t="s">
        <v>1521</v>
      </c>
      <c r="AF139" s="77" t="s">
        <v>773</v>
      </c>
      <c r="AG139" t="s">
        <v>788</v>
      </c>
      <c r="AH139" s="75"/>
      <c r="AI139" s="75"/>
      <c r="AJ139" s="75">
        <v>15</v>
      </c>
      <c r="AK139" s="75"/>
      <c r="AL139" s="75"/>
      <c r="AM139" s="75"/>
      <c r="AN139" s="75"/>
      <c r="AO139" s="75">
        <v>3</v>
      </c>
      <c r="AP139" s="75" t="s">
        <v>419</v>
      </c>
      <c r="AQ139" s="77"/>
      <c r="AR139" t="s">
        <v>722</v>
      </c>
      <c r="AS139" s="75" t="s">
        <v>424</v>
      </c>
    </row>
    <row r="140" spans="1:45" x14ac:dyDescent="0.25">
      <c r="A140" s="77" t="s">
        <v>551</v>
      </c>
      <c r="B140" t="s">
        <v>1583</v>
      </c>
      <c r="C140" s="75"/>
      <c r="D140" s="75" t="str">
        <f>""</f>
        <v/>
      </c>
      <c r="E140" s="75"/>
      <c r="F140" s="75" t="s">
        <v>768</v>
      </c>
      <c r="G140" s="75"/>
      <c r="H140" s="75"/>
      <c r="I140" s="75" t="s">
        <v>108</v>
      </c>
      <c r="J140" s="190">
        <v>132</v>
      </c>
      <c r="K140" s="75"/>
      <c r="L140" s="75"/>
      <c r="M140" s="428"/>
      <c r="O140"/>
      <c r="AE140" s="77" t="s">
        <v>1702</v>
      </c>
      <c r="AF140" s="77" t="s">
        <v>773</v>
      </c>
      <c r="AG140" t="s">
        <v>797</v>
      </c>
      <c r="AH140" s="75"/>
      <c r="AI140" s="75"/>
      <c r="AJ140" s="75"/>
      <c r="AK140" s="75"/>
      <c r="AL140" s="75"/>
      <c r="AM140" s="75"/>
      <c r="AN140" s="75"/>
      <c r="AO140" s="75">
        <v>4</v>
      </c>
      <c r="AP140" s="75"/>
      <c r="AQ140" s="77"/>
      <c r="AR140" t="s">
        <v>722</v>
      </c>
      <c r="AS140" s="75" t="s">
        <v>424</v>
      </c>
    </row>
    <row r="141" spans="1:45" x14ac:dyDescent="0.25">
      <c r="A141" s="77" t="s">
        <v>550</v>
      </c>
      <c r="B141" t="s">
        <v>1582</v>
      </c>
      <c r="C141" s="75"/>
      <c r="D141" s="75" t="str">
        <f>""</f>
        <v/>
      </c>
      <c r="E141" s="75"/>
      <c r="F141" s="75" t="s">
        <v>769</v>
      </c>
      <c r="G141" s="75"/>
      <c r="H141" s="75"/>
      <c r="I141" s="75" t="s">
        <v>108</v>
      </c>
      <c r="J141" s="190">
        <v>133</v>
      </c>
      <c r="K141" s="75"/>
      <c r="L141" s="75"/>
      <c r="M141" s="428"/>
      <c r="O141"/>
      <c r="AE141" s="57" t="s">
        <v>1516</v>
      </c>
      <c r="AF141" s="29" t="s">
        <v>789</v>
      </c>
      <c r="AG141" s="75" t="s">
        <v>644</v>
      </c>
      <c r="AH141" s="75"/>
      <c r="AI141" s="75"/>
      <c r="AJ141" s="75">
        <v>20</v>
      </c>
      <c r="AK141" s="75"/>
      <c r="AL141" s="75"/>
      <c r="AM141" s="75"/>
      <c r="AN141" s="75"/>
      <c r="AO141" s="75">
        <v>5</v>
      </c>
      <c r="AP141" s="75" t="s">
        <v>419</v>
      </c>
      <c r="AQ141" s="77"/>
      <c r="AR141" t="s">
        <v>86</v>
      </c>
      <c r="AS141" s="75" t="s">
        <v>424</v>
      </c>
    </row>
    <row r="142" spans="1:45" x14ac:dyDescent="0.25">
      <c r="A142" s="77" t="s">
        <v>549</v>
      </c>
      <c r="B142" t="s">
        <v>1581</v>
      </c>
      <c r="C142" s="75"/>
      <c r="D142" s="75" t="str">
        <f>""</f>
        <v/>
      </c>
      <c r="E142" s="75"/>
      <c r="F142" s="75" t="s">
        <v>771</v>
      </c>
      <c r="G142" s="75"/>
      <c r="H142" s="75"/>
      <c r="I142" s="75" t="s">
        <v>108</v>
      </c>
      <c r="J142" s="190">
        <v>134</v>
      </c>
      <c r="K142" s="75"/>
      <c r="L142" s="75"/>
      <c r="M142" s="428"/>
      <c r="O142"/>
      <c r="AE142" s="57" t="s">
        <v>1517</v>
      </c>
      <c r="AF142" s="29" t="s">
        <v>789</v>
      </c>
      <c r="AG142" s="75" t="s">
        <v>622</v>
      </c>
      <c r="AH142" s="75"/>
      <c r="AI142" s="75"/>
      <c r="AJ142" s="75">
        <v>10</v>
      </c>
      <c r="AK142" s="75"/>
      <c r="AL142" s="75"/>
      <c r="AM142" s="75"/>
      <c r="AN142" s="75"/>
      <c r="AO142" s="75">
        <v>6</v>
      </c>
      <c r="AP142" s="75" t="s">
        <v>419</v>
      </c>
      <c r="AQ142" s="77"/>
      <c r="AR142" t="s">
        <v>86</v>
      </c>
      <c r="AS142" s="75" t="s">
        <v>424</v>
      </c>
    </row>
    <row r="143" spans="1:45" x14ac:dyDescent="0.25">
      <c r="A143" s="77" t="s">
        <v>553</v>
      </c>
      <c r="B143" t="s">
        <v>1580</v>
      </c>
      <c r="C143" s="75"/>
      <c r="D143" s="75" t="str">
        <f>""</f>
        <v/>
      </c>
      <c r="E143" s="75"/>
      <c r="F143" t="s">
        <v>840</v>
      </c>
      <c r="G143" s="75" t="s">
        <v>114</v>
      </c>
      <c r="H143" s="75"/>
      <c r="I143" s="75" t="s">
        <v>108</v>
      </c>
      <c r="J143" s="190">
        <v>135</v>
      </c>
      <c r="K143" s="75"/>
      <c r="L143" s="75"/>
      <c r="M143" s="428"/>
      <c r="AE143" s="57" t="s">
        <v>1518</v>
      </c>
      <c r="AF143" s="29" t="s">
        <v>789</v>
      </c>
      <c r="AG143" s="75" t="s">
        <v>623</v>
      </c>
      <c r="AH143" s="75"/>
      <c r="AI143" s="75"/>
      <c r="AJ143" s="75">
        <v>15</v>
      </c>
      <c r="AK143" s="75"/>
      <c r="AL143" s="75"/>
      <c r="AM143" s="75"/>
      <c r="AN143" s="75"/>
      <c r="AO143" s="75">
        <v>7</v>
      </c>
      <c r="AP143" s="75" t="s">
        <v>419</v>
      </c>
      <c r="AQ143" s="77"/>
      <c r="AR143" t="s">
        <v>86</v>
      </c>
      <c r="AS143" s="75" t="s">
        <v>424</v>
      </c>
    </row>
    <row r="144" spans="1:45" x14ac:dyDescent="0.25">
      <c r="A144" s="427"/>
      <c r="B144" s="428"/>
      <c r="C144" s="428"/>
      <c r="D144" s="428"/>
      <c r="E144" s="428"/>
      <c r="F144" s="428"/>
      <c r="G144" s="428"/>
      <c r="H144" s="428"/>
      <c r="I144" s="428"/>
      <c r="J144" s="428"/>
      <c r="K144" s="428"/>
      <c r="L144" s="428"/>
      <c r="M144" s="428"/>
      <c r="AE144" s="57" t="s">
        <v>1703</v>
      </c>
      <c r="AF144" s="29" t="s">
        <v>789</v>
      </c>
      <c r="AG144" t="s">
        <v>796</v>
      </c>
      <c r="AH144" s="75"/>
      <c r="AI144" s="75"/>
      <c r="AJ144" s="75"/>
      <c r="AK144" s="75"/>
      <c r="AL144" s="75"/>
      <c r="AM144" s="75"/>
      <c r="AN144" s="75"/>
      <c r="AO144" s="75">
        <v>8</v>
      </c>
      <c r="AP144" s="75"/>
      <c r="AQ144" s="57"/>
      <c r="AR144" t="s">
        <v>86</v>
      </c>
      <c r="AS144" s="75" t="s">
        <v>424</v>
      </c>
    </row>
    <row r="145" spans="31:44" x14ac:dyDescent="0.25">
      <c r="AE145" s="77"/>
      <c r="AF145" s="75"/>
      <c r="AG145" s="75"/>
      <c r="AH145" s="75"/>
      <c r="AI145" s="75"/>
      <c r="AJ145" s="75"/>
      <c r="AK145" s="75"/>
      <c r="AL145" s="75"/>
      <c r="AM145" s="75"/>
      <c r="AN145" s="75"/>
      <c r="AO145" s="75"/>
      <c r="AP145" s="75"/>
      <c r="AQ145" s="75"/>
      <c r="AR145" s="75"/>
    </row>
    <row r="146" spans="31:44" x14ac:dyDescent="0.25">
      <c r="AE146" s="77"/>
      <c r="AF146" s="75"/>
      <c r="AG146" s="75"/>
      <c r="AH146" s="75"/>
      <c r="AI146" s="75"/>
      <c r="AJ146" s="75"/>
      <c r="AK146" s="75"/>
      <c r="AL146" s="75"/>
      <c r="AM146" s="75"/>
      <c r="AN146" s="75"/>
      <c r="AO146" s="75"/>
      <c r="AP146" s="75"/>
      <c r="AQ146" s="75"/>
      <c r="AR146" s="75"/>
    </row>
    <row r="147" spans="31:44" x14ac:dyDescent="0.25">
      <c r="AE147" s="77"/>
      <c r="AF147" s="75"/>
      <c r="AG147" s="75"/>
      <c r="AH147" s="75"/>
      <c r="AI147" s="75"/>
      <c r="AJ147" s="75"/>
      <c r="AK147" s="75"/>
      <c r="AL147" s="75"/>
      <c r="AM147" s="75"/>
      <c r="AN147" s="75"/>
      <c r="AO147" s="75"/>
      <c r="AP147" s="75"/>
      <c r="AQ147" s="75"/>
      <c r="AR147" s="75"/>
    </row>
  </sheetData>
  <sheetProtection algorithmName="SHA-512" hashValue="sfsKf45shfnYMAlqS2PS0JLHMoHRwezJdcJYMwHy4/+ec33W/dmP0Xx26Ci1kjmNmIMTKbbs1LN8TqKY+V1cYA==" saltValue="7Z9pZZHYZZGrahLOx4Bxtw==" spinCount="100000" sheet="1" objects="1" scenarios="1"/>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tabColor theme="7" tint="0.39997558519241921"/>
  </sheetPr>
  <dimension ref="A1:Z52"/>
  <sheetViews>
    <sheetView zoomScale="85" zoomScaleNormal="85" workbookViewId="0">
      <selection activeCell="K42" sqref="K42"/>
    </sheetView>
  </sheetViews>
  <sheetFormatPr defaultColWidth="0" defaultRowHeight="15" x14ac:dyDescent="0.25"/>
  <cols>
    <col min="1" max="1" width="17.5703125" customWidth="1"/>
    <col min="2" max="2" width="9.140625" customWidth="1"/>
    <col min="3" max="3" width="25.42578125" bestFit="1" customWidth="1"/>
    <col min="4" max="9" width="9.140625" customWidth="1"/>
    <col min="10" max="10" width="17.5703125" bestFit="1" customWidth="1"/>
    <col min="11" max="11" width="21.5703125" bestFit="1" customWidth="1"/>
    <col min="12" max="12" width="9.140625" customWidth="1"/>
    <col min="13" max="13" width="16.5703125" hidden="1" customWidth="1"/>
    <col min="14" max="20" width="9.140625" hidden="1" customWidth="1"/>
    <col min="21" max="21" width="9.5703125" hidden="1" customWidth="1"/>
    <col min="22" max="22" width="10.85546875" hidden="1" customWidth="1"/>
    <col min="23" max="26" width="0" hidden="1" customWidth="1"/>
    <col min="27" max="16384" width="9.140625" hidden="1"/>
  </cols>
  <sheetData>
    <row r="1" spans="1:12" x14ac:dyDescent="0.25">
      <c r="A1" t="s">
        <v>162</v>
      </c>
    </row>
    <row r="2" spans="1:12" x14ac:dyDescent="0.25">
      <c r="A2" t="s">
        <v>163</v>
      </c>
    </row>
    <row r="3" spans="1:12" x14ac:dyDescent="0.25">
      <c r="A3" t="s">
        <v>1185</v>
      </c>
    </row>
    <row r="4" spans="1:12" x14ac:dyDescent="0.25">
      <c r="A4" t="s">
        <v>1186</v>
      </c>
    </row>
    <row r="5" spans="1:12" x14ac:dyDescent="0.25">
      <c r="D5" t="s">
        <v>466</v>
      </c>
    </row>
    <row r="6" spans="1:12" x14ac:dyDescent="0.25">
      <c r="A6" t="s">
        <v>164</v>
      </c>
      <c r="B6" s="27">
        <v>4.8399999999999999E-2</v>
      </c>
      <c r="D6" t="s">
        <v>467</v>
      </c>
    </row>
    <row r="7" spans="1:12" x14ac:dyDescent="0.25">
      <c r="A7" t="s">
        <v>169</v>
      </c>
      <c r="B7" s="27">
        <v>6.4600000000000005E-2</v>
      </c>
    </row>
    <row r="8" spans="1:12" x14ac:dyDescent="0.25">
      <c r="A8" t="s">
        <v>464</v>
      </c>
      <c r="B8" s="58">
        <v>1.00796476761619</v>
      </c>
    </row>
    <row r="9" spans="1:12" x14ac:dyDescent="0.25">
      <c r="B9" s="27"/>
    </row>
    <row r="10" spans="1:12" x14ac:dyDescent="0.25">
      <c r="C10" s="28"/>
      <c r="D10" s="28"/>
      <c r="E10" s="28"/>
      <c r="F10" s="28"/>
      <c r="G10" s="28"/>
      <c r="H10" s="28"/>
    </row>
    <row r="11" spans="1:12" x14ac:dyDescent="0.25">
      <c r="A11" t="s">
        <v>159</v>
      </c>
      <c r="B11" t="s">
        <v>168</v>
      </c>
      <c r="C11" t="s">
        <v>465</v>
      </c>
      <c r="D11" s="28" t="s">
        <v>166</v>
      </c>
      <c r="E11" s="28" t="s">
        <v>463</v>
      </c>
      <c r="F11" s="28" t="s">
        <v>167</v>
      </c>
      <c r="G11" s="28" t="s">
        <v>160</v>
      </c>
      <c r="H11" s="28" t="s">
        <v>165</v>
      </c>
      <c r="I11" s="28" t="s">
        <v>161</v>
      </c>
      <c r="J11" t="s">
        <v>170</v>
      </c>
      <c r="K11" t="s">
        <v>171</v>
      </c>
    </row>
    <row r="12" spans="1:12" x14ac:dyDescent="0.25">
      <c r="A12" s="294">
        <v>2020</v>
      </c>
      <c r="B12" s="295">
        <v>0</v>
      </c>
      <c r="C12" s="295">
        <v>0.16</v>
      </c>
      <c r="D12" s="296"/>
      <c r="E12" s="296">
        <v>27.542930168145588</v>
      </c>
      <c r="F12" s="296"/>
      <c r="G12" s="296">
        <v>29.016400565794729</v>
      </c>
      <c r="H12" s="296"/>
      <c r="I12" s="296">
        <v>23.363652375182514</v>
      </c>
      <c r="J12" s="296">
        <f>$E$12/1000</f>
        <v>2.7542930168145588E-2</v>
      </c>
      <c r="K12" s="297">
        <f>$G$12+$I$12</f>
        <v>52.380052940977244</v>
      </c>
      <c r="L12" s="28"/>
    </row>
    <row r="13" spans="1:12" x14ac:dyDescent="0.25">
      <c r="A13">
        <v>2021</v>
      </c>
      <c r="B13">
        <v>1</v>
      </c>
      <c r="C13">
        <v>0.16400000000000001</v>
      </c>
      <c r="D13" s="28"/>
      <c r="E13" s="28">
        <v>28.692927499682444</v>
      </c>
      <c r="F13" s="28"/>
      <c r="G13" s="28">
        <v>35.423563240355129</v>
      </c>
      <c r="H13" s="28"/>
      <c r="I13" s="28">
        <v>23.830925422686164</v>
      </c>
      <c r="J13" s="28">
        <f>NPV($B$7,$E$13:$E13)/1000+$J$12</f>
        <v>5.4494768886614912E-2</v>
      </c>
      <c r="K13" s="134">
        <f>NPV($B$7,$G$13:$G13)+NPV($B$7,$I$13:$I13)+$K$12</f>
        <v>108.03897522450279</v>
      </c>
      <c r="L13" s="28"/>
    </row>
    <row r="14" spans="1:12" x14ac:dyDescent="0.25">
      <c r="A14">
        <v>2022</v>
      </c>
      <c r="B14">
        <v>2</v>
      </c>
      <c r="C14">
        <v>0.16800000000000001</v>
      </c>
      <c r="D14" s="28"/>
      <c r="E14" s="28">
        <v>29.839828626413787</v>
      </c>
      <c r="F14" s="28"/>
      <c r="G14" s="28">
        <v>47.908213733052762</v>
      </c>
      <c r="H14" s="28"/>
      <c r="I14" s="28">
        <v>24.30754393113989</v>
      </c>
      <c r="J14" s="28">
        <f>NPV($B$7,$E$13:$E14)/1000+$J$12</f>
        <v>8.0823104230654461E-2</v>
      </c>
      <c r="K14" s="134">
        <f>NPV($B$7,$G$13:$G14)+NPV($B$7,$I$13:$I14)+$K$12</f>
        <v>171.75652228922473</v>
      </c>
      <c r="L14" s="28"/>
    </row>
    <row r="15" spans="1:12" x14ac:dyDescent="0.25">
      <c r="A15">
        <v>2023</v>
      </c>
      <c r="B15" s="295">
        <v>3</v>
      </c>
      <c r="C15">
        <v>0.17299999999999999</v>
      </c>
      <c r="D15" s="28"/>
      <c r="E15" s="28">
        <v>31.585864300011906</v>
      </c>
      <c r="F15" s="28"/>
      <c r="G15" s="28">
        <v>60.447430548753218</v>
      </c>
      <c r="H15" s="28"/>
      <c r="I15" s="28">
        <v>24.793694809762687</v>
      </c>
      <c r="J15" s="28">
        <f>NPV($B$7,$E$13:$E15)/1000+$J$12</f>
        <v>0.10700091835685317</v>
      </c>
      <c r="K15" s="134">
        <f>NPV($B$7,$G$13:$G15)+NPV($B$7,$I$13:$I15)+$K$12</f>
        <v>242.40288214021643</v>
      </c>
      <c r="L15" s="28"/>
    </row>
    <row r="16" spans="1:12" x14ac:dyDescent="0.25">
      <c r="A16">
        <v>2024</v>
      </c>
      <c r="B16">
        <v>4</v>
      </c>
      <c r="C16">
        <v>0.17299999999999999</v>
      </c>
      <c r="D16" s="28"/>
      <c r="E16" s="28">
        <v>32.643301719523215</v>
      </c>
      <c r="F16" s="28"/>
      <c r="G16" s="28">
        <v>71.932528364105622</v>
      </c>
      <c r="H16" s="28"/>
      <c r="I16" s="28">
        <v>25.28956870595794</v>
      </c>
      <c r="J16" s="28">
        <f>NPV($B$7,$E$13:$E16)/1000+$J$12</f>
        <v>0.13241346752048547</v>
      </c>
      <c r="K16" s="134">
        <f>NPV($B$7,$G$13:$G16)+NPV($B$7,$I$13:$I16)+$K$12</f>
        <v>318.08950669838038</v>
      </c>
      <c r="L16" s="28"/>
    </row>
    <row r="17" spans="1:12" x14ac:dyDescent="0.25">
      <c r="A17">
        <v>2025</v>
      </c>
      <c r="B17">
        <v>5</v>
      </c>
      <c r="C17">
        <v>0.17299999999999999</v>
      </c>
      <c r="D17" s="28"/>
      <c r="E17" s="28">
        <v>35.244820068338825</v>
      </c>
      <c r="F17" s="28"/>
      <c r="G17" s="28">
        <v>81.852034972660135</v>
      </c>
      <c r="H17" s="28"/>
      <c r="I17" s="28">
        <v>25.795360080077099</v>
      </c>
      <c r="J17" s="28">
        <f>NPV($B$7,$E$13:$E17)/1000+$J$12</f>
        <v>0.15818634971076745</v>
      </c>
      <c r="K17" s="134">
        <f>NPV($B$7,$G$13:$G17)+NPV($B$7,$I$13:$I17)+$K$12</f>
        <v>396.80699271208329</v>
      </c>
      <c r="L17" s="28"/>
    </row>
    <row r="18" spans="1:12" x14ac:dyDescent="0.25">
      <c r="A18">
        <v>2026</v>
      </c>
      <c r="B18" s="295">
        <v>6</v>
      </c>
      <c r="C18">
        <v>0.17299999999999999</v>
      </c>
      <c r="D18" s="28"/>
      <c r="E18" s="28">
        <v>36.614568110894638</v>
      </c>
      <c r="F18" s="28"/>
      <c r="G18" s="28">
        <v>91.696273638129242</v>
      </c>
      <c r="H18" s="28"/>
      <c r="I18" s="28">
        <v>26.311267281678639</v>
      </c>
      <c r="J18" s="28">
        <f>NPV($B$7,$E$13:$E18)/1000+$J$12</f>
        <v>0.18333618497739862</v>
      </c>
      <c r="K18" s="134">
        <f>NPV($B$7,$G$13:$G18)+NPV($B$7,$I$13:$I18)+$K$12</f>
        <v>477.8640792073989</v>
      </c>
      <c r="L18" s="28"/>
    </row>
    <row r="19" spans="1:12" x14ac:dyDescent="0.25">
      <c r="A19">
        <v>2027</v>
      </c>
      <c r="B19">
        <v>7</v>
      </c>
      <c r="C19">
        <v>0.17299999999999999</v>
      </c>
      <c r="D19" s="28"/>
      <c r="E19" s="28">
        <v>38.178603857457084</v>
      </c>
      <c r="F19" s="28"/>
      <c r="G19" s="28">
        <v>99.67852046887397</v>
      </c>
      <c r="H19" s="28"/>
      <c r="I19" s="28">
        <v>26.837492627312212</v>
      </c>
      <c r="J19" s="28">
        <f>NPV($B$7,$E$13:$E19)/1000+$J$12</f>
        <v>0.20796904335183214</v>
      </c>
      <c r="K19" s="134">
        <f>NPV($B$7,$G$13:$G19)+NPV($B$7,$I$13:$I19)+$K$12</f>
        <v>559.49228762308269</v>
      </c>
      <c r="L19" s="28"/>
    </row>
    <row r="20" spans="1:12" x14ac:dyDescent="0.25">
      <c r="A20">
        <v>2028</v>
      </c>
      <c r="B20">
        <v>8</v>
      </c>
      <c r="C20">
        <v>0.17299999999999999</v>
      </c>
      <c r="D20" s="28"/>
      <c r="E20" s="28">
        <v>40.027384303594388</v>
      </c>
      <c r="F20" s="28"/>
      <c r="G20" s="28">
        <v>105.78299354937387</v>
      </c>
      <c r="H20" s="28"/>
      <c r="I20" s="28">
        <v>27.374242479858459</v>
      </c>
      <c r="J20" s="28">
        <f>NPV($B$7,$E$13:$E20)/1000+$J$12</f>
        <v>0.23222763121587914</v>
      </c>
      <c r="K20" s="134">
        <f>NPV($B$7,$G$13:$G20)+NPV($B$7,$I$13:$I20)+$K$12</f>
        <v>640.19220259750944</v>
      </c>
      <c r="L20" s="28"/>
    </row>
    <row r="21" spans="1:12" x14ac:dyDescent="0.25">
      <c r="A21">
        <v>2029</v>
      </c>
      <c r="B21" s="295">
        <v>9</v>
      </c>
      <c r="C21">
        <v>0.17299999999999999</v>
      </c>
      <c r="D21" s="28"/>
      <c r="E21" s="28">
        <v>41.829961444209999</v>
      </c>
      <c r="F21" s="28"/>
      <c r="G21" s="28">
        <v>110.14345287953442</v>
      </c>
      <c r="H21" s="28"/>
      <c r="I21" s="28">
        <v>27.921727329455628</v>
      </c>
      <c r="J21" s="28">
        <f>NPV($B$7,$E$13:$E21)/1000+$J$12</f>
        <v>0.25604036779501071</v>
      </c>
      <c r="K21" s="134">
        <f>NPV($B$7,$G$13:$G21)+NPV($B$7,$I$13:$I21)+$K$12</f>
        <v>718.78920946905373</v>
      </c>
      <c r="L21" s="28"/>
    </row>
    <row r="22" spans="1:12" x14ac:dyDescent="0.25">
      <c r="A22">
        <v>2030</v>
      </c>
      <c r="B22">
        <v>10</v>
      </c>
      <c r="C22">
        <v>0.17299999999999999</v>
      </c>
      <c r="D22" s="28"/>
      <c r="E22" s="28">
        <v>44.326038408120048</v>
      </c>
      <c r="F22" s="28"/>
      <c r="G22" s="28">
        <v>112.99816760949477</v>
      </c>
      <c r="H22" s="28"/>
      <c r="I22" s="28">
        <v>28.48016187604474</v>
      </c>
      <c r="J22" s="28">
        <f>NPV($B$7,$E$13:$E22)/1000+$J$12</f>
        <v>0.27974287569870143</v>
      </c>
      <c r="K22" s="134">
        <f>NPV($B$7,$G$13:$G22)+NPV($B$7,$I$13:$I22)+$K$12</f>
        <v>794.4420614554308</v>
      </c>
      <c r="L22" s="28"/>
    </row>
    <row r="23" spans="1:12" x14ac:dyDescent="0.25">
      <c r="A23">
        <v>2031</v>
      </c>
      <c r="B23">
        <v>11</v>
      </c>
      <c r="C23">
        <v>0.17299999999999999</v>
      </c>
      <c r="D23" s="28"/>
      <c r="E23" s="28">
        <v>47.733745212319661</v>
      </c>
      <c r="F23" s="28"/>
      <c r="G23" s="28">
        <v>114.65007006154785</v>
      </c>
      <c r="H23" s="28"/>
      <c r="I23" s="28">
        <v>29.049765113565634</v>
      </c>
      <c r="J23" s="28">
        <f>NPV($B$7,$E$13:$E23)/1000+$J$12</f>
        <v>0.30371874875174809</v>
      </c>
      <c r="K23" s="134">
        <f>NPV($B$7,$G$13:$G23)+NPV($B$7,$I$13:$I23)+$K$12</f>
        <v>866.62011894028592</v>
      </c>
      <c r="L23" s="28"/>
    </row>
    <row r="24" spans="1:12" x14ac:dyDescent="0.25">
      <c r="A24">
        <v>2032</v>
      </c>
      <c r="B24" s="295">
        <v>12</v>
      </c>
      <c r="C24">
        <v>0.17299999999999999</v>
      </c>
      <c r="D24" s="28"/>
      <c r="E24" s="28">
        <v>48.389524497586613</v>
      </c>
      <c r="F24" s="28"/>
      <c r="G24" s="28">
        <v>115.43209653916436</v>
      </c>
      <c r="H24" s="28"/>
      <c r="I24" s="28">
        <v>29.630760415836946</v>
      </c>
      <c r="J24" s="28">
        <f>NPV($B$7,$E$13:$E24)/1000+$J$12</f>
        <v>0.32654916409433554</v>
      </c>
      <c r="K24" s="134">
        <f>NPV($B$7,$G$13:$G24)+NPV($B$7,$I$13:$I24)+$K$12</f>
        <v>935.06148738626462</v>
      </c>
      <c r="L24" s="28"/>
    </row>
    <row r="25" spans="1:12" x14ac:dyDescent="0.25">
      <c r="A25">
        <v>2033</v>
      </c>
      <c r="B25">
        <v>13</v>
      </c>
      <c r="C25">
        <v>0.17299999999999999</v>
      </c>
      <c r="D25" s="28"/>
      <c r="E25" s="28">
        <v>48.99176944381437</v>
      </c>
      <c r="F25" s="28"/>
      <c r="G25" s="28">
        <v>115.67771492312579</v>
      </c>
      <c r="H25" s="28"/>
      <c r="I25" s="28">
        <v>30.223375624153686</v>
      </c>
      <c r="J25" s="28">
        <f>NPV($B$7,$E$13:$E25)/1000+$J$12</f>
        <v>0.34826112865039999</v>
      </c>
      <c r="K25" s="134">
        <f>NPV($B$7,$G$13:$G25)+NPV($B$7,$I$13:$I25)+$K$12</f>
        <v>999.721313773769</v>
      </c>
      <c r="L25" s="28"/>
    </row>
    <row r="26" spans="1:12" x14ac:dyDescent="0.25">
      <c r="A26">
        <v>2034</v>
      </c>
      <c r="B26">
        <v>14</v>
      </c>
      <c r="C26">
        <v>0.17299999999999999</v>
      </c>
      <c r="D26" s="28"/>
      <c r="E26" s="28">
        <v>50.383641722444914</v>
      </c>
      <c r="F26" s="28"/>
      <c r="G26" s="28">
        <v>115.69663905476777</v>
      </c>
      <c r="H26" s="28"/>
      <c r="I26" s="28">
        <v>30.827843136636758</v>
      </c>
      <c r="J26" s="28">
        <f>NPV($B$7,$E$13:$E26)/1000+$J$12</f>
        <v>0.36923502364204153</v>
      </c>
      <c r="K26" s="134">
        <f>NPV($B$7,$G$13:$G26)+NPV($B$7,$I$13:$I26)+$K$12</f>
        <v>1060.7170853798959</v>
      </c>
      <c r="L26" s="28"/>
    </row>
    <row r="27" spans="1:12" x14ac:dyDescent="0.25">
      <c r="A27">
        <v>2035</v>
      </c>
      <c r="B27" s="295">
        <v>15</v>
      </c>
      <c r="C27">
        <v>0.17299999999999999</v>
      </c>
      <c r="D27" s="28"/>
      <c r="E27" s="28">
        <v>51.807604291349371</v>
      </c>
      <c r="F27" s="28"/>
      <c r="G27" s="28">
        <v>115.75572990633235</v>
      </c>
      <c r="H27" s="28"/>
      <c r="I27" s="28">
        <v>31.444399999369494</v>
      </c>
      <c r="J27" s="28">
        <f>NPV($B$7,$E$13:$E27)/1000+$J$12</f>
        <v>0.38949302436869854</v>
      </c>
      <c r="K27" s="134">
        <f>NPV($B$7,$G$13:$G27)+NPV($B$7,$I$13:$I27)+$K$12</f>
        <v>1118.2758237037915</v>
      </c>
      <c r="L27" s="28"/>
    </row>
    <row r="28" spans="1:12" x14ac:dyDescent="0.25">
      <c r="A28">
        <v>2036</v>
      </c>
      <c r="B28">
        <v>16</v>
      </c>
      <c r="C28">
        <v>0.17299999999999999</v>
      </c>
      <c r="D28" s="28"/>
      <c r="E28" s="28">
        <v>53.060413458146499</v>
      </c>
      <c r="F28" s="28"/>
      <c r="G28" s="28">
        <v>116.06508353841571</v>
      </c>
      <c r="H28" s="28"/>
      <c r="I28" s="28">
        <v>32.073287999356886</v>
      </c>
      <c r="J28" s="28">
        <f>NPV($B$7,$E$13:$E28)/1000+$J$12</f>
        <v>0.40898192047332477</v>
      </c>
      <c r="K28" s="134">
        <f>NPV($B$7,$G$13:$G28)+NPV($B$7,$I$13:$I28)+$K$12</f>
        <v>1172.6865066187568</v>
      </c>
      <c r="L28" s="28"/>
    </row>
    <row r="29" spans="1:12" x14ac:dyDescent="0.25">
      <c r="A29">
        <v>2037</v>
      </c>
      <c r="B29">
        <v>17</v>
      </c>
      <c r="C29">
        <v>0.17299999999999999</v>
      </c>
      <c r="D29" s="28"/>
      <c r="E29" s="28">
        <v>54.560258413917957</v>
      </c>
      <c r="F29" s="28"/>
      <c r="G29" s="28">
        <v>116.76930584454462</v>
      </c>
      <c r="H29" s="28"/>
      <c r="I29" s="28">
        <v>32.714753759344028</v>
      </c>
      <c r="J29" s="28">
        <f>NPV($B$7,$E$13:$E29)/1000+$J$12</f>
        <v>0.42780568872427183</v>
      </c>
      <c r="K29" s="134">
        <f>NPV($B$7,$G$13:$G29)+NPV($B$7,$I$13:$I29)+$K$12</f>
        <v>1224.2598198139997</v>
      </c>
      <c r="L29" s="28"/>
    </row>
    <row r="30" spans="1:12" x14ac:dyDescent="0.25">
      <c r="A30">
        <v>2038</v>
      </c>
      <c r="B30" s="295">
        <v>18</v>
      </c>
      <c r="C30">
        <v>0.17299999999999999</v>
      </c>
      <c r="D30" s="28"/>
      <c r="E30" s="28">
        <v>56.102499098345525</v>
      </c>
      <c r="F30" s="28"/>
      <c r="G30" s="28">
        <v>117.47780100381186</v>
      </c>
      <c r="H30" s="28"/>
      <c r="I30" s="28">
        <v>33.369048834530908</v>
      </c>
      <c r="J30" s="28">
        <f>NPV($B$7,$E$13:$E30)/1000+$J$12</f>
        <v>0.44598702897377196</v>
      </c>
      <c r="K30" s="134">
        <f>NPV($B$7,$G$13:$G30)+NPV($B$7,$I$13:$I30)+$K$12</f>
        <v>1273.1453052478746</v>
      </c>
      <c r="L30" s="28"/>
    </row>
    <row r="31" spans="1:12" x14ac:dyDescent="0.25">
      <c r="A31">
        <v>2039</v>
      </c>
      <c r="B31">
        <v>19</v>
      </c>
      <c r="C31">
        <v>0.17299999999999999</v>
      </c>
      <c r="D31" s="28"/>
      <c r="E31" s="28">
        <v>57.688333900503608</v>
      </c>
      <c r="F31" s="28"/>
      <c r="G31" s="28">
        <v>118.1905949416586</v>
      </c>
      <c r="H31" s="28"/>
      <c r="I31" s="28">
        <v>34.036429811221524</v>
      </c>
      <c r="J31" s="28">
        <f>NPV($B$7,$E$13:$E31)/1000+$J$12</f>
        <v>0.46354786636091189</v>
      </c>
      <c r="K31" s="134">
        <f>NPV($B$7,$G$13:$G31)+NPV($B$7,$I$13:$I31)+$K$12</f>
        <v>1319.484553530275</v>
      </c>
      <c r="L31" s="28"/>
    </row>
    <row r="32" spans="1:12" x14ac:dyDescent="0.25">
      <c r="A32">
        <v>2040</v>
      </c>
      <c r="B32">
        <v>20</v>
      </c>
      <c r="C32">
        <v>0.17299999999999999</v>
      </c>
      <c r="D32" s="28"/>
      <c r="E32" s="28">
        <v>59.318995084019988</v>
      </c>
      <c r="F32" s="28"/>
      <c r="G32" s="28">
        <v>118.90771374082799</v>
      </c>
      <c r="H32" s="28"/>
      <c r="I32" s="28">
        <v>34.71715840744595</v>
      </c>
      <c r="J32" s="28">
        <f>NPV($B$7,$E$13:$E32)/1000+$J$12</f>
        <v>0.48050937775147357</v>
      </c>
      <c r="K32" s="134">
        <f>NPV($B$7,$G$13:$G32)+NPV($B$7,$I$13:$I32)+$K$12</f>
        <v>1363.4116297581475</v>
      </c>
      <c r="L32" s="28"/>
    </row>
    <row r="33" spans="1:12" x14ac:dyDescent="0.25">
      <c r="A33">
        <v>2041</v>
      </c>
      <c r="B33" s="295">
        <v>21</v>
      </c>
      <c r="C33">
        <v>0.17299999999999999</v>
      </c>
      <c r="D33" s="28"/>
      <c r="E33" s="28">
        <v>60.995749744599046</v>
      </c>
      <c r="F33" s="28"/>
      <c r="G33" s="28">
        <v>119.62918364231963</v>
      </c>
      <c r="H33" s="28"/>
      <c r="I33" s="28">
        <v>35.411501575594876</v>
      </c>
      <c r="J33" s="28">
        <f>NPV($B$7,$E$13:$E33)/1000+$J$12</f>
        <v>0.49689201727541993</v>
      </c>
      <c r="K33" s="134">
        <f>NPV($B$7,$G$13:$G33)+NPV($B$7,$I$13:$I33)+$K$12</f>
        <v>1405.0534764131376</v>
      </c>
      <c r="L33" s="28"/>
    </row>
    <row r="34" spans="1:12" x14ac:dyDescent="0.25">
      <c r="A34">
        <v>2042</v>
      </c>
      <c r="B34">
        <v>22</v>
      </c>
      <c r="C34">
        <v>0.17299999999999999</v>
      </c>
      <c r="D34" s="28"/>
      <c r="E34" s="28">
        <v>62.719900794611057</v>
      </c>
      <c r="F34" s="28"/>
      <c r="G34" s="28">
        <v>120.35503104634989</v>
      </c>
      <c r="H34" s="28"/>
      <c r="I34" s="28">
        <v>36.119731607106772</v>
      </c>
      <c r="J34" s="28">
        <f>NPV($B$7,$E$13:$E34)/1000+$J$12</f>
        <v>0.5127155409928239</v>
      </c>
      <c r="K34" s="134">
        <f>NPV($B$7,$G$13:$G34)+NPV($B$7,$I$13:$I34)+$K$12</f>
        <v>1444.5302945626145</v>
      </c>
      <c r="L34" s="28"/>
    </row>
    <row r="35" spans="1:12" x14ac:dyDescent="0.25">
      <c r="A35">
        <v>2043</v>
      </c>
      <c r="B35">
        <v>23</v>
      </c>
      <c r="C35">
        <v>0.17299999999999999</v>
      </c>
      <c r="D35" s="28"/>
      <c r="E35" s="28">
        <v>64.492787975512599</v>
      </c>
      <c r="F35" s="28"/>
      <c r="G35" s="28">
        <v>121.08528251331776</v>
      </c>
      <c r="H35" s="28"/>
      <c r="I35" s="28">
        <v>36.842126239248913</v>
      </c>
      <c r="J35" s="28">
        <f>NPV($B$7,$E$13:$E35)/1000+$J$12</f>
        <v>0.52799903071798437</v>
      </c>
      <c r="K35" s="134">
        <f>NPV($B$7,$G$13:$G35)+NPV($B$7,$I$13:$I35)+$K$12</f>
        <v>1481.9559045379119</v>
      </c>
      <c r="L35" s="28"/>
    </row>
    <row r="36" spans="1:12" x14ac:dyDescent="0.25">
      <c r="A36">
        <v>2044</v>
      </c>
      <c r="B36" s="295">
        <v>24</v>
      </c>
      <c r="C36">
        <v>0.17299999999999999</v>
      </c>
      <c r="D36" s="28"/>
      <c r="E36" s="28">
        <v>66.315788898884776</v>
      </c>
      <c r="F36" s="28"/>
      <c r="G36" s="28">
        <v>121.81996476477693</v>
      </c>
      <c r="H36" s="28"/>
      <c r="I36" s="28">
        <v>37.578968764033888</v>
      </c>
      <c r="J36" s="28">
        <f>NPV($B$7,$E$13:$E36)/1000+$J$12</f>
        <v>0.54276091703046059</v>
      </c>
      <c r="K36" s="134">
        <f>NPV($B$7,$G$13:$G36)+NPV($B$7,$I$13:$I36)+$K$12</f>
        <v>1517.4380871998728</v>
      </c>
    </row>
    <row r="37" spans="1:12" x14ac:dyDescent="0.25">
      <c r="A37">
        <v>2045</v>
      </c>
      <c r="B37">
        <v>25</v>
      </c>
      <c r="C37">
        <v>0.17299999999999999</v>
      </c>
      <c r="D37" s="28"/>
      <c r="E37" s="28">
        <v>68.190320116898235</v>
      </c>
      <c r="F37" s="28"/>
      <c r="G37" s="28">
        <v>122.55910468441347</v>
      </c>
      <c r="H37" s="28"/>
      <c r="I37" s="28">
        <v>38.330548139314566</v>
      </c>
      <c r="J37" s="28">
        <f>NPV($B$7,$E$13:$E37)/1000+$J$12</f>
        <v>0.55701900150077188</v>
      </c>
      <c r="K37" s="134">
        <f>NPV($B$7,$G$13:$G37)+NPV($B$7,$I$13:$I37)+$K$12</f>
        <v>1551.0789068415347</v>
      </c>
    </row>
    <row r="38" spans="1:12" x14ac:dyDescent="0.25">
      <c r="A38">
        <v>2046</v>
      </c>
      <c r="B38">
        <v>26</v>
      </c>
      <c r="C38">
        <v>0.17299999999999999</v>
      </c>
      <c r="D38" s="28"/>
      <c r="E38" s="28">
        <v>70.117838223036699</v>
      </c>
      <c r="F38" s="28"/>
      <c r="G38" s="28">
        <v>123.30272931902965</v>
      </c>
      <c r="H38" s="28"/>
      <c r="I38" s="28">
        <v>39.097159102100861</v>
      </c>
      <c r="J38" s="28">
        <f>NPV($B$7,$E$13:$E38)/1000+$J$12</f>
        <v>0.57079047815756723</v>
      </c>
      <c r="K38" s="134">
        <f>NPV($B$7,$G$13:$G38)+NPV($B$7,$I$13:$I38)+$K$12</f>
        <v>1582.975016720789</v>
      </c>
    </row>
    <row r="39" spans="1:12" x14ac:dyDescent="0.25">
      <c r="A39">
        <v>2047</v>
      </c>
      <c r="B39" s="295">
        <v>27</v>
      </c>
      <c r="C39">
        <v>0.17299999999999999</v>
      </c>
      <c r="D39" s="28"/>
      <c r="E39" s="28">
        <v>72.099840983934413</v>
      </c>
      <c r="F39" s="28"/>
      <c r="G39" s="28">
        <v>124.05086587953362</v>
      </c>
      <c r="H39" s="28"/>
      <c r="I39" s="28">
        <v>39.879102284142881</v>
      </c>
      <c r="J39" s="28">
        <f>NPV($B$7,$E$13:$E39)/1000+$J$12</f>
        <v>0.58409195422215088</v>
      </c>
      <c r="K39" s="134">
        <f>NPV($B$7,$G$13:$G39)+NPV($B$7,$I$13:$I39)+$K$12</f>
        <v>1613.2179481619692</v>
      </c>
    </row>
    <row r="40" spans="1:12" x14ac:dyDescent="0.25">
      <c r="A40">
        <v>2048</v>
      </c>
      <c r="B40">
        <v>28</v>
      </c>
      <c r="C40">
        <v>0.17299999999999999</v>
      </c>
      <c r="D40" s="28"/>
      <c r="E40" s="28">
        <v>74.137868503206889</v>
      </c>
      <c r="F40" s="28"/>
      <c r="G40" s="28">
        <v>124.80354174193506</v>
      </c>
      <c r="H40" s="28"/>
      <c r="I40" s="28">
        <v>40.676684329825733</v>
      </c>
      <c r="J40" s="28">
        <f>NPV($B$7,$E$13:$E40)/1000+$J$12</f>
        <v>0.59693947013536919</v>
      </c>
      <c r="K40" s="134">
        <f>NPV($B$7,$G$13:$G40)+NPV($B$7,$I$13:$I40)+$K$12</f>
        <v>1641.8943841143723</v>
      </c>
    </row>
    <row r="41" spans="1:12" x14ac:dyDescent="0.25">
      <c r="D41" s="28"/>
      <c r="E41" s="28"/>
      <c r="F41" s="28"/>
      <c r="G41" s="28"/>
      <c r="H41" s="28"/>
      <c r="I41" s="28"/>
      <c r="J41" s="28"/>
      <c r="K41" s="28"/>
    </row>
    <row r="42" spans="1:12" x14ac:dyDescent="0.25">
      <c r="D42" s="28"/>
      <c r="E42" s="28"/>
      <c r="F42" s="28"/>
      <c r="G42" s="28"/>
      <c r="H42" s="28"/>
      <c r="I42" s="28"/>
      <c r="J42" s="28"/>
      <c r="K42" s="28"/>
    </row>
    <row r="43" spans="1:12" x14ac:dyDescent="0.25">
      <c r="D43" s="28"/>
      <c r="E43" s="28"/>
      <c r="F43" s="28"/>
      <c r="G43" s="28"/>
      <c r="H43" s="28"/>
      <c r="I43" s="28"/>
      <c r="J43" s="28"/>
      <c r="K43" s="28"/>
    </row>
    <row r="44" spans="1:12" x14ac:dyDescent="0.25">
      <c r="D44" s="28"/>
      <c r="E44" s="28"/>
      <c r="F44" s="28"/>
      <c r="G44" s="28"/>
      <c r="H44" s="28"/>
      <c r="I44" s="28"/>
      <c r="J44" s="28"/>
      <c r="K44" s="28"/>
    </row>
    <row r="49" spans="1:11" x14ac:dyDescent="0.25">
      <c r="A49" s="181">
        <v>2016</v>
      </c>
      <c r="B49" s="182"/>
      <c r="C49" s="182">
        <v>0.15</v>
      </c>
      <c r="D49" s="183"/>
      <c r="E49" s="183">
        <v>27.474302867076183</v>
      </c>
      <c r="F49" s="183"/>
      <c r="G49" s="183">
        <v>11.849791666666667</v>
      </c>
      <c r="H49" s="183"/>
      <c r="I49" s="183">
        <v>23.025434159507174</v>
      </c>
      <c r="J49" s="183">
        <f>E49/1000/((1+EDR)^B49)</f>
        <v>2.7474302867076184E-2</v>
      </c>
      <c r="K49" s="184">
        <f>(G49+I49)/((1+EDR)^B49)</f>
        <v>34.875225826173839</v>
      </c>
    </row>
    <row r="50" spans="1:11" x14ac:dyDescent="0.25">
      <c r="A50" s="185">
        <v>2017</v>
      </c>
      <c r="B50" s="186"/>
      <c r="C50" s="186">
        <v>0.151</v>
      </c>
      <c r="D50" s="187"/>
      <c r="E50" s="187">
        <v>29.439837280909085</v>
      </c>
      <c r="F50" s="187"/>
      <c r="G50" s="187">
        <v>19.221700000000002</v>
      </c>
      <c r="H50" s="187"/>
      <c r="I50" s="187">
        <v>23.48594284269732</v>
      </c>
      <c r="J50" s="187">
        <f>E50/1000/((1+EDR)^B50)+J49</f>
        <v>5.6914140147985265E-2</v>
      </c>
      <c r="K50" s="188">
        <f>(G50+I50)/((1+EDR)^B50)+K49</f>
        <v>77.582868668871157</v>
      </c>
    </row>
    <row r="51" spans="1:11" x14ac:dyDescent="0.25">
      <c r="A51" s="225">
        <v>2018</v>
      </c>
      <c r="B51" s="224">
        <v>0</v>
      </c>
      <c r="C51" s="224">
        <v>0.151</v>
      </c>
      <c r="D51" s="226"/>
      <c r="E51" s="226">
        <v>24.106442960761797</v>
      </c>
      <c r="F51" s="226"/>
      <c r="G51" s="226">
        <v>19.117267462424401</v>
      </c>
      <c r="H51" s="226"/>
      <c r="I51" s="226">
        <v>22.456413278722138</v>
      </c>
      <c r="J51" s="226">
        <f>$E$42/1000</f>
        <v>0</v>
      </c>
      <c r="K51" s="227">
        <f>$G$42+$I$42</f>
        <v>0</v>
      </c>
    </row>
    <row r="52" spans="1:11" x14ac:dyDescent="0.25">
      <c r="A52" s="225">
        <v>2019</v>
      </c>
      <c r="B52" s="224">
        <v>0</v>
      </c>
      <c r="C52" s="224">
        <v>0.156</v>
      </c>
      <c r="D52" s="226"/>
      <c r="E52" s="226">
        <v>26.391083115592409</v>
      </c>
      <c r="F52" s="226"/>
      <c r="G52" s="226">
        <v>22.925147580523085</v>
      </c>
      <c r="H52" s="226"/>
      <c r="I52" s="226">
        <v>22.905541544296582</v>
      </c>
      <c r="J52" s="226">
        <f>$E$52/1000</f>
        <v>2.639108311559241E-2</v>
      </c>
      <c r="K52" s="227">
        <f>$G$52+$I$52</f>
        <v>45.830689124819671</v>
      </c>
    </row>
  </sheetData>
  <sheetProtection algorithmName="SHA-512" hashValue="ol3j2zrvlwaSY9kcHQDIWd6M36TN0suu6PhYwQpLSznqprCG/ZTrjmREg3No/pc/b+w/BC7ksrZFahGEtP+Q4A==" saltValue="+mDplJz6WO0ahAyCcpqzGA==" spinCount="100000" sheet="1" objects="1" scenarios="1"/>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FB561"/>
  <sheetViews>
    <sheetView zoomScale="70" zoomScaleNormal="70" workbookViewId="0">
      <pane ySplit="1" topLeftCell="A2" activePane="bottomLeft" state="frozen"/>
      <selection activeCell="C134" sqref="C134"/>
      <selection pane="bottomLeft" activeCell="C134" sqref="C134"/>
    </sheetView>
  </sheetViews>
  <sheetFormatPr defaultColWidth="0" defaultRowHeight="15" zeroHeight="1" x14ac:dyDescent="0.25"/>
  <cols>
    <col min="1" max="1" width="9.140625" style="57" customWidth="1"/>
    <col min="2" max="2" width="11.140625" style="57" customWidth="1"/>
    <col min="3" max="3" width="13.7109375" style="57" customWidth="1"/>
    <col min="4" max="4" width="9.140625" customWidth="1"/>
    <col min="5" max="5" width="11.5703125" customWidth="1"/>
    <col min="6" max="6" width="7.5703125" style="112" customWidth="1"/>
    <col min="7" max="7" width="8.5703125" customWidth="1"/>
    <col min="8" max="8" width="13.5703125" style="56" customWidth="1"/>
    <col min="9" max="10" width="11.7109375" style="56" customWidth="1"/>
    <col min="11" max="11" width="8" customWidth="1"/>
    <col min="12" max="12" width="12.28515625" style="112" customWidth="1"/>
    <col min="13" max="13" width="10.28515625" style="112" customWidth="1"/>
    <col min="14" max="14" width="17.140625" style="134" customWidth="1"/>
    <col min="15" max="15" width="12" style="56" customWidth="1"/>
    <col min="16" max="16" width="11.5703125" style="112" customWidth="1"/>
    <col min="17" max="17" width="16.85546875" style="134" customWidth="1"/>
    <col min="18" max="18" width="11.85546875" customWidth="1"/>
    <col min="19" max="20" width="9.140625" style="117" customWidth="1"/>
    <col min="21" max="21" width="5.28515625" style="112" customWidth="1"/>
    <col min="22" max="22" width="15" style="53" customWidth="1"/>
    <col min="23" max="23" width="12.28515625" style="53" customWidth="1"/>
    <col min="24" max="25" width="15.7109375" customWidth="1"/>
    <col min="26" max="26" width="7.5703125" customWidth="1"/>
    <col min="27" max="27" width="17.5703125" customWidth="1"/>
    <col min="28" max="28" width="17.140625" customWidth="1"/>
    <col min="29" max="29" width="15" customWidth="1"/>
    <col min="30" max="30" width="14.5703125" customWidth="1"/>
    <col min="31" max="31" width="11.5703125" style="112" customWidth="1"/>
    <col min="32" max="32" width="9.42578125" style="112" customWidth="1"/>
    <col min="33" max="33" width="8.85546875" style="112" customWidth="1"/>
    <col min="34" max="35" width="9.140625" style="112" customWidth="1"/>
    <col min="36" max="36" width="9.28515625" style="56" customWidth="1"/>
    <col min="37" max="37" width="13.5703125" style="56" customWidth="1"/>
    <col min="38" max="38" width="10" style="56" customWidth="1"/>
    <col min="39" max="39" width="5.5703125" style="56" customWidth="1"/>
    <col min="40" max="40" width="8.42578125" style="56" customWidth="1"/>
    <col min="41" max="41" width="6.42578125" style="112" customWidth="1"/>
    <col min="42" max="42" width="11.140625" style="99" customWidth="1"/>
    <col min="43" max="43" width="9.140625" style="99" customWidth="1"/>
    <col min="44" max="44" width="10" style="99" bestFit="1" customWidth="1"/>
    <col min="45" max="45" width="9.140625" customWidth="1"/>
    <col min="46" max="46" width="10.7109375" customWidth="1"/>
    <col min="47" max="48" width="9.140625" customWidth="1"/>
    <col min="49" max="49" width="10.140625" customWidth="1"/>
    <col min="50" max="56" width="9.140625" customWidth="1"/>
    <col min="57" max="57" width="15.42578125" bestFit="1" customWidth="1"/>
    <col min="58" max="76" width="9.140625" customWidth="1"/>
    <col min="77" max="77" width="11.7109375" customWidth="1"/>
    <col min="78" max="158" width="9.140625" customWidth="1"/>
    <col min="159" max="16384" width="9.140625" hidden="1"/>
  </cols>
  <sheetData>
    <row r="1" spans="1:154" ht="24.75" customHeight="1" x14ac:dyDescent="0.25">
      <c r="A1" s="145" t="s">
        <v>403</v>
      </c>
      <c r="B1" s="145" t="s">
        <v>405</v>
      </c>
      <c r="C1" s="145" t="s">
        <v>404</v>
      </c>
      <c r="D1" s="12" t="s">
        <v>0</v>
      </c>
      <c r="E1" s="12" t="s">
        <v>843</v>
      </c>
      <c r="F1" s="111" t="s">
        <v>844</v>
      </c>
      <c r="G1" s="12" t="s">
        <v>70</v>
      </c>
      <c r="H1" s="114" t="s">
        <v>845</v>
      </c>
      <c r="I1" s="114" t="s">
        <v>846</v>
      </c>
      <c r="J1" s="114" t="s">
        <v>847</v>
      </c>
      <c r="K1" s="12" t="s">
        <v>848</v>
      </c>
      <c r="L1" s="111" t="s">
        <v>849</v>
      </c>
      <c r="M1" s="111" t="s">
        <v>870</v>
      </c>
      <c r="N1" s="94" t="s">
        <v>871</v>
      </c>
      <c r="O1" s="114" t="s">
        <v>872</v>
      </c>
      <c r="P1" s="111" t="s">
        <v>873</v>
      </c>
      <c r="Q1" s="94" t="s">
        <v>874</v>
      </c>
      <c r="R1" s="12" t="s">
        <v>875</v>
      </c>
      <c r="S1" s="116" t="s">
        <v>876</v>
      </c>
      <c r="T1" s="116" t="s">
        <v>877</v>
      </c>
      <c r="U1" s="111" t="s">
        <v>416</v>
      </c>
      <c r="V1" s="95" t="s">
        <v>122</v>
      </c>
      <c r="W1" s="95" t="s">
        <v>124</v>
      </c>
      <c r="X1" s="12" t="s">
        <v>881</v>
      </c>
      <c r="Y1" s="12" t="s">
        <v>879</v>
      </c>
      <c r="Z1" s="12" t="s">
        <v>1512</v>
      </c>
      <c r="AA1" s="12" t="s">
        <v>880</v>
      </c>
      <c r="AB1" s="12" t="s">
        <v>883</v>
      </c>
      <c r="AC1" s="12" t="s">
        <v>878</v>
      </c>
      <c r="AD1" s="12" t="s">
        <v>882</v>
      </c>
      <c r="AE1" s="111" t="s">
        <v>893</v>
      </c>
      <c r="AF1" s="111" t="s">
        <v>884</v>
      </c>
      <c r="AG1" s="111" t="s">
        <v>885</v>
      </c>
      <c r="AH1" s="111" t="s">
        <v>888</v>
      </c>
      <c r="AI1" s="111" t="s">
        <v>889</v>
      </c>
      <c r="AJ1" s="114" t="s">
        <v>890</v>
      </c>
      <c r="AK1" s="114" t="s">
        <v>891</v>
      </c>
      <c r="AL1" s="114" t="s">
        <v>892</v>
      </c>
      <c r="AM1" s="114" t="s">
        <v>406</v>
      </c>
      <c r="AN1" s="114" t="s">
        <v>886</v>
      </c>
      <c r="AO1" s="111" t="s">
        <v>887</v>
      </c>
      <c r="AP1" s="111" t="s">
        <v>1515</v>
      </c>
      <c r="AQ1" s="111" t="s">
        <v>1513</v>
      </c>
      <c r="AR1" s="249" t="s">
        <v>1577</v>
      </c>
      <c r="AS1" s="12" t="s">
        <v>1006</v>
      </c>
      <c r="AT1" s="12" t="s">
        <v>894</v>
      </c>
      <c r="AU1" s="12" t="s">
        <v>895</v>
      </c>
      <c r="AV1" s="12" t="s">
        <v>896</v>
      </c>
      <c r="AW1" s="96" t="s">
        <v>897</v>
      </c>
      <c r="AX1" s="94" t="s">
        <v>408</v>
      </c>
      <c r="AY1" s="12" t="s">
        <v>409</v>
      </c>
      <c r="AZ1" s="12" t="s">
        <v>410</v>
      </c>
      <c r="BA1" s="12" t="s">
        <v>411</v>
      </c>
      <c r="BB1" s="12" t="s">
        <v>412</v>
      </c>
      <c r="BC1" s="94" t="s">
        <v>413</v>
      </c>
      <c r="BD1" s="12" t="s">
        <v>414</v>
      </c>
      <c r="BE1" s="12" t="s">
        <v>415</v>
      </c>
      <c r="BF1" s="12" t="s">
        <v>898</v>
      </c>
      <c r="BG1" s="12" t="s">
        <v>899</v>
      </c>
      <c r="BH1" s="12" t="s">
        <v>995</v>
      </c>
      <c r="BI1" s="12" t="s">
        <v>1578</v>
      </c>
      <c r="BJ1" s="12" t="s">
        <v>900</v>
      </c>
      <c r="BK1" s="12" t="s">
        <v>901</v>
      </c>
      <c r="BL1" s="12" t="s">
        <v>902</v>
      </c>
      <c r="BM1" s="12" t="s">
        <v>903</v>
      </c>
      <c r="BN1" s="12" t="s">
        <v>904</v>
      </c>
      <c r="BO1" s="12" t="s">
        <v>1848</v>
      </c>
      <c r="BP1" s="12" t="s">
        <v>1849</v>
      </c>
      <c r="BQ1" s="12"/>
      <c r="BR1" s="12" t="s">
        <v>905</v>
      </c>
      <c r="BS1" s="12" t="s">
        <v>906</v>
      </c>
      <c r="BT1" s="12" t="s">
        <v>907</v>
      </c>
      <c r="BU1" s="12" t="s">
        <v>908</v>
      </c>
      <c r="BV1" s="12" t="s">
        <v>909</v>
      </c>
      <c r="BW1" s="12" t="s">
        <v>1887</v>
      </c>
      <c r="BX1" s="12"/>
      <c r="BY1" s="12" t="s">
        <v>1015</v>
      </c>
      <c r="BZ1" s="12" t="s">
        <v>910</v>
      </c>
      <c r="CA1" s="12" t="s">
        <v>911</v>
      </c>
      <c r="CB1" s="12" t="s">
        <v>912</v>
      </c>
      <c r="CC1" s="12" t="s">
        <v>913</v>
      </c>
      <c r="CD1" s="12" t="s">
        <v>391</v>
      </c>
      <c r="CE1" s="12" t="s">
        <v>914</v>
      </c>
      <c r="CF1" s="12" t="s">
        <v>915</v>
      </c>
      <c r="CG1" s="12" t="s">
        <v>916</v>
      </c>
      <c r="CH1" s="12"/>
      <c r="CI1" s="12" t="s">
        <v>975</v>
      </c>
      <c r="CJ1" s="12" t="s">
        <v>976</v>
      </c>
      <c r="CK1" s="12"/>
      <c r="CL1" s="97"/>
      <c r="CM1" s="12" t="s">
        <v>344</v>
      </c>
      <c r="CN1" s="12" t="s">
        <v>407</v>
      </c>
      <c r="CO1" s="12" t="s">
        <v>426</v>
      </c>
      <c r="CP1" s="12" t="s">
        <v>427</v>
      </c>
      <c r="CQ1" s="12" t="s">
        <v>428</v>
      </c>
      <c r="CR1" s="12" t="s">
        <v>429</v>
      </c>
      <c r="CS1" s="12" t="s">
        <v>430</v>
      </c>
      <c r="CT1" s="12" t="s">
        <v>431</v>
      </c>
      <c r="CU1" s="12" t="s">
        <v>432</v>
      </c>
      <c r="CV1" s="12" t="s">
        <v>433</v>
      </c>
      <c r="CW1" s="12" t="s">
        <v>434</v>
      </c>
      <c r="CX1" s="12" t="s">
        <v>435</v>
      </c>
      <c r="CY1" s="12" t="s">
        <v>436</v>
      </c>
      <c r="CZ1" s="12" t="s">
        <v>437</v>
      </c>
      <c r="DA1" s="12" t="s">
        <v>438</v>
      </c>
      <c r="DB1" s="12" t="s">
        <v>439</v>
      </c>
      <c r="DC1" s="12" t="s">
        <v>440</v>
      </c>
      <c r="DD1" s="12" t="s">
        <v>441</v>
      </c>
      <c r="DE1" s="12" t="s">
        <v>442</v>
      </c>
      <c r="DF1" s="12" t="s">
        <v>443</v>
      </c>
      <c r="DG1" s="12" t="s">
        <v>444</v>
      </c>
      <c r="DH1" s="12" t="s">
        <v>445</v>
      </c>
      <c r="DI1" s="12" t="s">
        <v>446</v>
      </c>
      <c r="DJ1" s="12" t="s">
        <v>447</v>
      </c>
      <c r="DK1" s="12" t="s">
        <v>448</v>
      </c>
      <c r="DL1" s="12" t="s">
        <v>449</v>
      </c>
      <c r="DM1" s="12" t="s">
        <v>450</v>
      </c>
      <c r="DN1" s="12" t="s">
        <v>451</v>
      </c>
      <c r="DO1" s="12" t="s">
        <v>452</v>
      </c>
      <c r="DP1" s="12" t="s">
        <v>453</v>
      </c>
      <c r="DQ1" s="12" t="s">
        <v>454</v>
      </c>
      <c r="DR1" s="12" t="s">
        <v>455</v>
      </c>
      <c r="DS1" s="12" t="s">
        <v>2049</v>
      </c>
      <c r="DT1" s="12" t="s">
        <v>2050</v>
      </c>
      <c r="DV1" s="93"/>
      <c r="DW1" s="12" t="s">
        <v>2044</v>
      </c>
      <c r="DX1" s="12" t="s">
        <v>2045</v>
      </c>
      <c r="DY1" s="12" t="s">
        <v>2046</v>
      </c>
      <c r="DZ1" s="12" t="s">
        <v>2047</v>
      </c>
      <c r="EA1" s="12" t="s">
        <v>2048</v>
      </c>
      <c r="EC1" t="s">
        <v>1000</v>
      </c>
      <c r="ED1" t="s">
        <v>1003</v>
      </c>
      <c r="EE1" t="s">
        <v>1001</v>
      </c>
      <c r="EF1" t="s">
        <v>1002</v>
      </c>
      <c r="EG1" t="s">
        <v>1004</v>
      </c>
      <c r="EH1" t="s">
        <v>1005</v>
      </c>
      <c r="EI1" t="s">
        <v>1087</v>
      </c>
      <c r="EL1" t="s">
        <v>1088</v>
      </c>
      <c r="EM1" t="s">
        <v>1089</v>
      </c>
      <c r="EN1" t="s">
        <v>1090</v>
      </c>
      <c r="EO1" t="s">
        <v>1091</v>
      </c>
      <c r="EQ1" t="s">
        <v>1092</v>
      </c>
      <c r="ER1" t="s">
        <v>1093</v>
      </c>
      <c r="EU1" t="s">
        <v>1094</v>
      </c>
      <c r="EV1" t="s">
        <v>1095</v>
      </c>
      <c r="EX1" t="s">
        <v>1096</v>
      </c>
    </row>
    <row r="2" spans="1:154" x14ac:dyDescent="0.25">
      <c r="A2" s="57">
        <f>PROJID</f>
        <v>0</v>
      </c>
      <c r="AP2" s="112"/>
      <c r="AQ2" s="112"/>
      <c r="AR2" s="250"/>
      <c r="AS2" t="str">
        <f>IF(M05S07F02=0,"",M05S07F02)</f>
        <v/>
      </c>
      <c r="AT2" s="57">
        <f>PROJID</f>
        <v>0</v>
      </c>
      <c r="AU2">
        <f>M02S02F47</f>
        <v>0</v>
      </c>
      <c r="AV2" t="str">
        <f>VERSION</f>
        <v>Lighting One-Page 2.3.0</v>
      </c>
      <c r="AW2" t="s">
        <v>178</v>
      </c>
      <c r="AX2" t="str">
        <f>M02S04F02</f>
        <v/>
      </c>
      <c r="AY2" t="str">
        <f>IF(M02S04F01="Site (Bill Credit)",CONCATENATE("Bill Credit ",M02S04F06.1),CONCATENATE(M02S04F03," ",M02S04F04))</f>
        <v xml:space="preserve"> </v>
      </c>
      <c r="AZ2" t="str">
        <f>M02S04F07</f>
        <v/>
      </c>
      <c r="BB2" t="str">
        <f>M02S04F08</f>
        <v/>
      </c>
      <c r="BC2">
        <f>M02S04F09</f>
        <v>0</v>
      </c>
      <c r="BD2" t="str">
        <f>M02S04F10</f>
        <v/>
      </c>
      <c r="BE2" s="55" t="str">
        <f>M02S04F05</f>
        <v/>
      </c>
      <c r="BF2" t="str">
        <f>IFERROR(INDEX(TAXENTITY[System Text],MATCH(M02S04F11,TAXENTITY[Tax Entity],0)),"")</f>
        <v/>
      </c>
      <c r="BG2" t="str">
        <f>CONCATENATE(M02S04F12,"-",M02S04F12.1)</f>
        <v>-</v>
      </c>
      <c r="BH2" t="str">
        <f>IFERROR(INDEX(PAYMENT[Payment Preference],MATCH(M02S04F01,PAYMENT[Payment to],0)),"")</f>
        <v/>
      </c>
      <c r="BI2" s="190" t="str">
        <f>IF(TEMPLATE!C134=TRUE, "Yes", IF(TEMPLATE!C135=TRUE,"No",""))</f>
        <v/>
      </c>
      <c r="BJ2" s="93"/>
      <c r="BK2" s="330"/>
      <c r="BL2" s="330"/>
      <c r="BM2" s="331"/>
      <c r="BN2" s="93"/>
      <c r="BO2">
        <f>IF(ISNUMBER(SEARCH("Participant",M02S01F04)),"Past Program Participant",M02S01F04)</f>
        <v>0</v>
      </c>
      <c r="BP2" cm="1">
        <f t="array" ref="BP2">M02S01F05</f>
        <v>0</v>
      </c>
      <c r="BR2" s="93"/>
      <c r="BS2" s="330"/>
      <c r="BT2" s="330"/>
      <c r="BU2" s="331"/>
      <c r="BV2" s="93"/>
      <c r="BW2">
        <f>CUSTSUBAPP</f>
        <v>0</v>
      </c>
      <c r="BX2" s="54"/>
      <c r="BY2" t="s">
        <v>968</v>
      </c>
      <c r="BZ2" s="112"/>
      <c r="CA2" s="112">
        <f>M02S02F28</f>
        <v>0</v>
      </c>
      <c r="CB2" s="112"/>
      <c r="CC2" s="112"/>
      <c r="CD2" s="93"/>
      <c r="CE2">
        <f>M02S02F26</f>
        <v>0</v>
      </c>
      <c r="CG2">
        <f>M02S02F32</f>
        <v>0</v>
      </c>
      <c r="CI2" s="54"/>
      <c r="CJ2" s="54"/>
      <c r="CL2" s="93"/>
      <c r="CM2">
        <f>M02S03F01</f>
        <v>0</v>
      </c>
      <c r="CN2" s="54"/>
      <c r="CO2">
        <f>M02S02F02</f>
        <v>0</v>
      </c>
      <c r="CP2">
        <f>M02S02F03</f>
        <v>0</v>
      </c>
      <c r="CQ2">
        <f>M02S02F04</f>
        <v>0</v>
      </c>
      <c r="CR2">
        <f>M02S02F47</f>
        <v>0</v>
      </c>
      <c r="CS2">
        <f>M02S02F05</f>
        <v>0</v>
      </c>
      <c r="CT2">
        <f>M02S02F07</f>
        <v>0</v>
      </c>
      <c r="CU2">
        <f>M02S02F22</f>
        <v>0</v>
      </c>
      <c r="CV2">
        <f>M02S02F23</f>
        <v>0</v>
      </c>
      <c r="CW2" t="str">
        <f>M02S02F24</f>
        <v>MO</v>
      </c>
      <c r="CX2">
        <f>M02S02F25</f>
        <v>0</v>
      </c>
      <c r="CY2">
        <f>M02S02F02</f>
        <v>0</v>
      </c>
      <c r="CZ2">
        <f>M02S02F03</f>
        <v>0</v>
      </c>
      <c r="DA2">
        <f>M02S02F04</f>
        <v>0</v>
      </c>
      <c r="DB2">
        <f>M02S02F47</f>
        <v>0</v>
      </c>
      <c r="DC2">
        <f>M02S02F05</f>
        <v>0</v>
      </c>
      <c r="DD2">
        <f>M02S02F07</f>
        <v>0</v>
      </c>
      <c r="DE2">
        <f>M02S02F22</f>
        <v>0</v>
      </c>
      <c r="DF2">
        <f>M02S02F23</f>
        <v>0</v>
      </c>
      <c r="DG2" t="str">
        <f>M02S02F24</f>
        <v>MO</v>
      </c>
      <c r="DH2">
        <f>M02S02F25</f>
        <v>0</v>
      </c>
      <c r="DI2">
        <f>M02S03F03</f>
        <v>0</v>
      </c>
      <c r="DJ2">
        <f>M02S03F04</f>
        <v>0</v>
      </c>
      <c r="DK2">
        <f>M02S03F05</f>
        <v>0</v>
      </c>
      <c r="DL2">
        <f>M02S03F02</f>
        <v>0</v>
      </c>
      <c r="DM2">
        <f>M02S03F06</f>
        <v>0</v>
      </c>
      <c r="DN2">
        <f>M02S03F08</f>
        <v>0</v>
      </c>
      <c r="DO2" s="93"/>
      <c r="DP2" s="93"/>
      <c r="DQ2" s="93"/>
      <c r="DR2" s="93"/>
      <c r="DW2">
        <f>M02S04F13</f>
        <v>0</v>
      </c>
      <c r="DX2">
        <f>M02S04F14</f>
        <v>0</v>
      </c>
      <c r="DY2">
        <f>M02S04F15</f>
        <v>0</v>
      </c>
      <c r="DZ2">
        <f>M02S04F16</f>
        <v>0</v>
      </c>
      <c r="EA2">
        <f>M02S04F17</f>
        <v>0</v>
      </c>
    </row>
    <row r="3" spans="1:154" x14ac:dyDescent="0.25">
      <c r="A3" s="146" t="str">
        <f>CONCATENATE(MAIN4," ",M4S1)</f>
        <v>Payee Information HVAC Equipment and Thermostats</v>
      </c>
      <c r="B3" s="147"/>
      <c r="C3" s="147"/>
      <c r="D3" s="126"/>
      <c r="E3" s="126"/>
      <c r="F3" s="127"/>
      <c r="G3" s="127"/>
      <c r="H3" s="128"/>
      <c r="I3" s="128"/>
      <c r="J3" s="128"/>
      <c r="K3" s="126"/>
      <c r="L3" s="127"/>
      <c r="M3" s="127"/>
      <c r="N3" s="135"/>
      <c r="O3" s="128"/>
      <c r="P3" s="132"/>
      <c r="Q3" s="137"/>
      <c r="R3" s="130"/>
      <c r="S3" s="133"/>
      <c r="T3" s="133"/>
      <c r="U3" s="127"/>
      <c r="V3" s="130"/>
      <c r="W3" s="129"/>
      <c r="X3" s="130"/>
      <c r="Y3" s="126"/>
      <c r="Z3" s="126"/>
      <c r="AA3" s="126"/>
      <c r="AB3" s="126"/>
      <c r="AC3" s="126"/>
      <c r="AD3" s="126"/>
      <c r="AE3" s="132"/>
      <c r="AF3" s="132"/>
      <c r="AG3" s="132"/>
      <c r="AH3" s="132"/>
      <c r="AI3" s="132"/>
      <c r="AJ3" s="128" t="str">
        <f>IFERROR(O3/M3,"")</f>
        <v/>
      </c>
      <c r="AK3" s="128" t="str">
        <f>IFERROR(O3/N3,"")</f>
        <v/>
      </c>
      <c r="AL3" s="128" t="str">
        <f>IFERROR(O3/L3,"")</f>
        <v/>
      </c>
      <c r="AM3" s="131"/>
      <c r="AN3" s="128" t="str">
        <f t="shared" ref="AN3" si="0">IFERROR(J3/M3/M02S02F35,"")</f>
        <v/>
      </c>
      <c r="AO3" s="127"/>
      <c r="AP3" s="127"/>
      <c r="AQ3" s="127"/>
      <c r="AR3" s="250"/>
      <c r="CD3" s="93"/>
    </row>
    <row r="4" spans="1:154" x14ac:dyDescent="0.25">
      <c r="A4">
        <f t="shared" ref="A4:A23" si="1">PROJID</f>
        <v>0</v>
      </c>
      <c r="B4" t="str">
        <f>IF(C4="","",CONCATENATE(ROW(),"-",C4))</f>
        <v/>
      </c>
      <c r="C4" t="str" cm="1">
        <f t="array" ref="C4">IFERROR(IF(J4&gt;0,INDEX('M01-S01'!$BA$32:$BA$71,2*(ROWS($C$4:C4)-1)+1),""),"")</f>
        <v/>
      </c>
      <c r="D4" t="s">
        <v>939</v>
      </c>
      <c r="E4" t="str">
        <f>IF(B4&lt;&gt;"","Lighting","")</f>
        <v/>
      </c>
      <c r="F4" s="112" t="str" cm="1">
        <f t="array" ref="F4">INDEX('M01-S01'!AB$32:$AB$71,2*(ROWS($F$4:F4)-1)+1)</f>
        <v/>
      </c>
      <c r="G4" s="113"/>
      <c r="H4" s="56" cm="1">
        <f t="array" ref="H4">ROUND(INDEX('M01-S01'!$AF$32:$AF$71,2*(ROWS($H$4:H4)-1)+1)*INDEX('M01-S01'!$Z$32:$Z$71,2*(ROWS($H$4:H4)-1)+1),2)</f>
        <v>0</v>
      </c>
      <c r="I4" s="56" cm="1">
        <f t="array" ref="I4">ROUND(INDEX('M01-S01'!$AH$32:$AH$71,2*(ROWS($I$4:I4)-1)+1)*INDEX('M01-S01'!$Z$32:$Z$71,2*(ROWS($I$4:I4)-1)+1),2)</f>
        <v>0</v>
      </c>
      <c r="J4" s="56" cm="1">
        <f t="array" ref="J4">IFERROR(ROUND(INDEX('M01-S01'!$AT$32:$AT$71,2*(ROWS($J$4:J4)-1)+1),2),0)</f>
        <v>0</v>
      </c>
      <c r="K4" t="s">
        <v>86</v>
      </c>
      <c r="L4" s="117">
        <f>IF(ISNUMBER(INDEX('M01-S01'!$AN$32:$AN$71,2*(ROWS($L$4:L4)-1)+1)),INDEX('M01-S01'!$Z$32:$Z$71,2*(ROWS($L$4:L4)-1)+1),0)</f>
        <v>0</v>
      </c>
      <c r="M4" s="112" cm="1">
        <f t="array" ref="M4">IF(ISNUMBER(INDEX('M01-S01'!$AN$32:$AN$71,2*(ROWS($M$4:M4)-1)+1)),INDEX('M01-S01'!$AJ$32:$AJ$71,2*(ROWS($M$4:M4)-1)+1),0)</f>
        <v>0</v>
      </c>
      <c r="N4" s="134" cm="1">
        <f t="array" ref="N4">IF(ISNUMBER(INDEX('M01-S01'!$AN$32:$AN$71,2*(ROWS($N$4:N4)-1)+1)),INDEX('M01-S01'!$AU$32:$AU$71,2*(ROWS($N$4:N4)-1)+1),0)</f>
        <v>0</v>
      </c>
      <c r="O4" s="56" cm="1">
        <f t="array" ref="O4">IF(ISNUMBER(INDEX('M01-S01'!$AN$32:$AN$71,2*(ROWS($O$4:O4)-1)+1)),INDEX('M01-S01'!$AN$32:$AN$71,2*(ROWS($O$4:O4)-1)+1)*INCENTCAPADJ,0)</f>
        <v>0</v>
      </c>
      <c r="P4" s="112" t="str">
        <f>IFERROR(IF(NOT(ISNUMBER(INDEX('M01-S01'!$AN$32:$AN$71,2*(ROWS($P$4:P4)-1)+1))),INDEX('M01-S01'!$AJ$32:$AJ$71,2*(ROWS($P$4:P4)-1)+1),0),0)</f>
        <v/>
      </c>
      <c r="Q4" s="134" t="str">
        <f>IFERROR(IF(NOT(ISNUMBER(INDEX('M01-S01'!$AN$32:$AN$71,2*(ROWS($P$4:P4)-1)+1))),INDEX('M01-S01'!$AU$32:$AU$71,2*(ROWS($P$4:P4)-1)+1),0),0)</f>
        <v/>
      </c>
      <c r="R4" t="str">
        <f>IFERROR(IF(NOT(ISNUMBER(INDEX('M01-S01'!$AN$32:$AN$71,2*(ROWS($R$4:R4)-1)+1))),"Not Eligible",""),"")</f>
        <v>Not Eligible</v>
      </c>
      <c r="S4" s="117" t="str">
        <f>INDEX('M01-S01'!$J$32:$J$71,2*(ROWS($S$4:S4)-1)+1)</f>
        <v/>
      </c>
      <c r="T4" s="117">
        <f>INDEX('M01-S01'!$X$32:$X$71,2*(ROWS($T$4:T4)-1)+1)</f>
        <v>0</v>
      </c>
      <c r="U4" s="112" cm="1">
        <f t="array" ref="U4">INDEX('M01-S01'!$B$32:$B$71,2*(ROWS($U$4:U4)-1)+1)</f>
        <v>1</v>
      </c>
      <c r="V4" s="223">
        <f>INDEX('M01-S01'!F$32:$F$71,2*(ROWS($V$4:V4)-1)+1)</f>
        <v>0</v>
      </c>
      <c r="W4" s="53">
        <f>INDEX('M01-S01'!N$32:$N$71,2*(ROWS($W$4:W4)-1)+1)</f>
        <v>0</v>
      </c>
      <c r="X4" s="98"/>
      <c r="Y4">
        <f>INDEX('M01-S01'!R$32:$R$71,2*(ROWS($W$4:W4)-1)+1)</f>
        <v>0</v>
      </c>
      <c r="Z4" cm="1">
        <f t="array" ref="Z4">IFERROR(INDEX('M01-S01'!$AD$32:$AD$71,2*(ROWS($Z$4:Z4)-1)+1)/INDEX('M01-S01'!$AB$32:$AB$71,2*(ROWS(Z$4:$Z4)-1)+1),0)</f>
        <v>0</v>
      </c>
      <c r="AA4" t="str" cm="1">
        <f t="array" ref="AA4">IF(ISNUMBER(SEARCH("Linear",INDEX('M01-S01'!$C$32:$C$71,2*(ROWS($AA$4:AA4)-1)+1))),INDEX(CMLIGHTBASE[Measure Subgroup 1],MATCH(INDEX('M01-S01'!$F$32:$F$71,2*(ROWS($AA$4:AA4)-1)+1),CMLIGHTBASE[Base Desc 1],0)),"")</f>
        <v/>
      </c>
      <c r="AB4" t="str" cm="1">
        <f t="array" ref="AB4">IF(ISNUMBER(SEARCH("Linear",INDEX('M01-S01'!$C$32:$C$71,2*(ROWS($AB$4:AB4)-1)+1))),INDEX(CMLIGHTBASE[Measure Subgroup 2],MATCH(INDEX('M01-S01'!$F$32:$F$71,2*(ROWS($AB$4:AB4)-1)+1),CMLIGHTBASE[Base Desc 1],0)),"")</f>
        <v/>
      </c>
      <c r="AC4" s="98"/>
      <c r="AD4" s="53" t="str">
        <f>IF(ISNUMBER(INDEX('M01-S01'!$V$32:$V$71,2*(ROWS($AD$4:AD4)-1)+1)),INDEX('M01-S01'!$V$32:$V$71,2*(ROWS($AD$4:AD4)-1)+1)&amp;" Lamp","")</f>
        <v/>
      </c>
      <c r="AE4" s="112">
        <f>IFERROR(IF(NOT(ISNUMBER(INDEX('M01-S01'!$AN$32:$AN$71,2*(ROWS($AE$4:AE4)-1)+1))),INDEX('M01-S01'!$Z$32:$Z$71,2*(ROWS($AE$4:AE4)-1)+1),0),0)</f>
        <v>0</v>
      </c>
      <c r="AF4" s="112" t="str">
        <f>INDEX('M01-S01'!$AV$32:$AV$71,2*(ROWS($AF$4:AF4)-1)+1)</f>
        <v/>
      </c>
      <c r="AG4" s="112" t="str">
        <f>INDEX('M01-S01'!$AW$32:$AW$71,2*(ROWS($AF$4:AF4)-1)+1)</f>
        <v/>
      </c>
      <c r="AH4" s="112" t="str">
        <f>IFERROR(AF4/L4,"")</f>
        <v/>
      </c>
      <c r="AI4" s="112" t="str">
        <f>IFERROR(AG4/AO4,"")</f>
        <v/>
      </c>
      <c r="AJ4" s="56" t="str">
        <f>IFERROR(O4/M4,"")</f>
        <v/>
      </c>
      <c r="AK4" s="56" t="str">
        <f>IFERROR(O4/N4,"")</f>
        <v/>
      </c>
      <c r="AL4" s="56" t="str">
        <f>IFERROR(O4/L4,"")</f>
        <v/>
      </c>
      <c r="AM4" s="115"/>
      <c r="AN4" s="56" t="str">
        <f t="shared" ref="AN4" si="2">IFERROR(J4/M4/M02S02F35,"")</f>
        <v/>
      </c>
      <c r="AO4" s="112" cm="1">
        <f t="array" ref="AO4">INDEX('M01-S01'!$L$32:$L$71,2*(ROWS($AO$4:AO4)-1)+1)</f>
        <v>0</v>
      </c>
      <c r="AP4" s="112" cm="1">
        <f t="array" ref="AP4">INDEX('M01-S01'!$AD$32:$AD$71,2*(ROWS($AP$4:AP4)-1)+1)</f>
        <v>0</v>
      </c>
      <c r="AQ4" s="56" t="str">
        <f>IF(INDEX('M01-S01'!$AJ$32:$AJ$71,2*(ROWS($AQ$4:AQ4)-1)+1)="","",IF(AND(INDEX('M01-S01'!$AJ$32:$AJ$71,2*(ROWS($AQ$4:AQ4)-1)+1)&lt;&gt;"",OR(ISNUMBER(SEARCH("AC With",M02S02F32)),M02S02F32="Heat Pump")),LIGHTHEATCOIN,1))</f>
        <v/>
      </c>
      <c r="AR4" s="404" cm="1">
        <f t="array" ref="AR4">ROUND((IF(INDEX('M01-S01'!$AN$32:$AN$71,2*(ROWS($O$4:O4)-1)+1)=INDEX('M01-S01'!$BH$32:$BH$71,2*(ROWS($O$4:O4)-1)+1),0,(INDEX('M01-S01'!$BG$32:$BG$71,2*(ROWS($O$4:O4)-1)+1)-INDEX('M01-S01'!$BH$32:$BH$71,2*(ROWS($O$4:O4)-1)+1))))*INCENTCAPADJ,2)</f>
        <v>0</v>
      </c>
    </row>
    <row r="5" spans="1:154" x14ac:dyDescent="0.25">
      <c r="A5">
        <f t="shared" si="1"/>
        <v>0</v>
      </c>
      <c r="B5" t="str">
        <f t="shared" ref="B5:B23" si="3">IF(C5="","",CONCATENATE(ROW(),"-",C5))</f>
        <v/>
      </c>
      <c r="C5" t="str" cm="1">
        <f t="array" ref="C5">IFERROR(IF(J5&gt;0,INDEX('M01-S01'!$BA$32:$BA$71,2*(ROWS($C$4:C5)-1)+1),""),"")</f>
        <v/>
      </c>
      <c r="D5" t="s">
        <v>939</v>
      </c>
      <c r="E5" t="str">
        <f t="shared" ref="E5:E23" si="4">IF(B5&lt;&gt;"","Lighting","")</f>
        <v/>
      </c>
      <c r="F5" s="112" t="str" cm="1">
        <f t="array" ref="F5">INDEX('M01-S01'!AB$32:$AB$71,2*(ROWS($F$4:F5)-1)+1)</f>
        <v/>
      </c>
      <c r="G5" s="113"/>
      <c r="H5" s="56" cm="1">
        <f t="array" ref="H5">ROUND(INDEX('M01-S01'!$AF$32:$AF$71,2*(ROWS($H$4:H5)-1)+1)*INDEX('M01-S01'!$Z$32:$Z$71,2*(ROWS($H$4:H5)-1)+1),2)</f>
        <v>0</v>
      </c>
      <c r="I5" s="56" cm="1">
        <f t="array" ref="I5">ROUND(INDEX('M01-S01'!$AH$32:$AH$71,2*(ROWS($I$4:I5)-1)+1)*INDEX('M01-S01'!$Z$32:$Z$71,2*(ROWS($I$4:I5)-1)+1),2)</f>
        <v>0</v>
      </c>
      <c r="J5" s="56" cm="1">
        <f t="array" ref="J5">IFERROR(ROUND(INDEX('M01-S01'!$AT$32:$AT$71,2*(ROWS($J$4:J5)-1)+1),2),0)</f>
        <v>0</v>
      </c>
      <c r="K5" t="s">
        <v>86</v>
      </c>
      <c r="L5" s="117">
        <f>IF(ISNUMBER(INDEX('M01-S01'!$AN$32:$AN$71,2*(ROWS($L$4:L5)-1)+1)),INDEX('M01-S01'!$Z$32:$Z$71,2*(ROWS($L$4:L5)-1)+1),0)</f>
        <v>0</v>
      </c>
      <c r="M5" s="112" cm="1">
        <f t="array" ref="M5">IF(ISNUMBER(INDEX('M01-S01'!$AN$32:$AN$71,2*(ROWS($M$4:M5)-1)+1)),INDEX('M01-S01'!$AJ$32:$AJ$71,2*(ROWS($M$4:M5)-1)+1),0)</f>
        <v>0</v>
      </c>
      <c r="N5" s="134" cm="1">
        <f t="array" ref="N5">IF(ISNUMBER(INDEX('M01-S01'!$AN$32:$AN$71,2*(ROWS($N$4:N5)-1)+1)),INDEX('M01-S01'!$AU$32:$AU$71,2*(ROWS($N$4:N5)-1)+1),0)</f>
        <v>0</v>
      </c>
      <c r="O5" s="56" cm="1">
        <f t="array" ref="O5">IF(ISNUMBER(INDEX('M01-S01'!$AN$32:$AN$71,2*(ROWS($O$4:O5)-1)+1)),INDEX('M01-S01'!$AN$32:$AN$71,2*(ROWS($O$4:O5)-1)+1)*INCENTCAPADJ,0)</f>
        <v>0</v>
      </c>
      <c r="P5" s="112" t="str">
        <f>IFERROR(IF(NOT(ISNUMBER(INDEX('M01-S01'!$AN$32:$AN$71,2*(ROWS($P$4:P5)-1)+1))),INDEX('M01-S01'!$AJ$32:$AJ$71,2*(ROWS($P$4:P5)-1)+1),0),0)</f>
        <v/>
      </c>
      <c r="Q5" s="134" t="str">
        <f>IFERROR(IF(NOT(ISNUMBER(INDEX('M01-S01'!$AN$32:$AN$71,2*(ROWS($P$4:P5)-1)+1))),INDEX('M01-S01'!$AU$32:$AU$71,2*(ROWS($P$4:P5)-1)+1),0),0)</f>
        <v/>
      </c>
      <c r="R5" t="str">
        <f>IFERROR(IF(NOT(ISNUMBER(INDEX('M01-S01'!$AN$32:$AN$71,2*(ROWS($R$4:R5)-1)+1))),"Not Eligible",""),"")</f>
        <v>Not Eligible</v>
      </c>
      <c r="S5" s="117" t="str">
        <f>INDEX('M01-S01'!$J$32:$J$71,2*(ROWS($S$4:S5)-1)+1)</f>
        <v/>
      </c>
      <c r="T5" s="117">
        <f>INDEX('M01-S01'!$X$32:$X$71,2*(ROWS($T$4:T5)-1)+1)</f>
        <v>0</v>
      </c>
      <c r="U5" s="112" cm="1">
        <f t="array" ref="U5">INDEX('M01-S01'!$B$32:$B$71,2*(ROWS($U$4:U5)-1)+1)</f>
        <v>2</v>
      </c>
      <c r="V5" s="223">
        <f>INDEX('M01-S01'!F$32:$F$71,2*(ROWS($V$4:V5)-1)+1)</f>
        <v>0</v>
      </c>
      <c r="W5" s="53">
        <f>INDEX('M01-S01'!N$32:$N$71,2*(ROWS($W$4:W5)-1)+1)</f>
        <v>0</v>
      </c>
      <c r="X5" s="98"/>
      <c r="Y5">
        <f>INDEX('M01-S01'!R$32:$R$71,2*(ROWS($W$4:W5)-1)+1)</f>
        <v>0</v>
      </c>
      <c r="Z5" cm="1">
        <f t="array" ref="Z5">IFERROR(INDEX('M01-S01'!$AD$32:$AD$71,2*(ROWS($Z$4:Z5)-1)+1)/INDEX('M01-S01'!$AB$32:$AB$71,2*(ROWS(Z$4:$Z5)-1)+1),0)</f>
        <v>0</v>
      </c>
      <c r="AA5" t="str" cm="1">
        <f t="array" ref="AA5">IF(ISNUMBER(SEARCH("Linear",INDEX('M01-S01'!$C$32:$C$71,2*(ROWS($AA$4:AA5)-1)+1))),INDEX(CMLIGHTBASE[Measure Subgroup 1],MATCH(INDEX('M01-S01'!$F$32:$F$71,2*(ROWS($AA$4:AA5)-1)+1),CMLIGHTBASE[Base Desc 1],0)),"")</f>
        <v/>
      </c>
      <c r="AB5" t="str" cm="1">
        <f t="array" ref="AB5">IF(ISNUMBER(SEARCH("Linear",INDEX('M01-S01'!$C$32:$C$71,2*(ROWS($AB$4:AB5)-1)+1))),INDEX(CMLIGHTBASE[Measure Subgroup 2],MATCH(INDEX('M01-S01'!$F$32:$F$71,2*(ROWS($AB$4:AB5)-1)+1),CMLIGHTBASE[Base Desc 1],0)),"")</f>
        <v/>
      </c>
      <c r="AC5" s="98"/>
      <c r="AD5" s="53" t="str">
        <f>IF(ISNUMBER(INDEX('M01-S01'!$V$32:$V$71,2*(ROWS($AD$4:AD5)-1)+1)),INDEX('M01-S01'!$V$32:$V$71,2*(ROWS($AD$4:AD5)-1)+1)&amp;" Lamp","")</f>
        <v/>
      </c>
      <c r="AE5" s="112">
        <f>IFERROR(IF(NOT(ISNUMBER(INDEX('M01-S01'!$AN$32:$AN$71,2*(ROWS($AE$4:AE5)-1)+1))),INDEX('M01-S01'!$Z$32:$Z$71,2*(ROWS($AE$4:AE5)-1)+1),0),0)</f>
        <v>0</v>
      </c>
      <c r="AF5" s="112" t="str">
        <f>INDEX('M01-S01'!$AV$32:$AV$71,2*(ROWS($AF$4:AF5)-1)+1)</f>
        <v/>
      </c>
      <c r="AG5" s="112" t="str">
        <f>INDEX('M01-S01'!$AW$32:$AW$71,2*(ROWS($AF$4:AF5)-1)+1)</f>
        <v/>
      </c>
      <c r="AH5" s="112" t="str">
        <f t="shared" ref="AH5:AH23" si="5">IFERROR(AF5/L5,"")</f>
        <v/>
      </c>
      <c r="AI5" s="112" t="str">
        <f t="shared" ref="AI5:AI23" si="6">IFERROR(AG5/AO5,"")</f>
        <v/>
      </c>
      <c r="AJ5" s="56" t="str">
        <f t="shared" ref="AJ5:AJ23" si="7">IFERROR(O5/M5,"")</f>
        <v/>
      </c>
      <c r="AK5" s="56" t="str">
        <f t="shared" ref="AK5:AK23" si="8">IFERROR(O5/N5,"")</f>
        <v/>
      </c>
      <c r="AL5" s="56" t="str">
        <f t="shared" ref="AL5:AL23" si="9">IFERROR(O5/L5,"")</f>
        <v/>
      </c>
      <c r="AM5" s="115"/>
      <c r="AN5" s="56" t="str">
        <f t="shared" ref="AN5:AN23" si="10">IFERROR(J5/M5/M02S02F35,"")</f>
        <v/>
      </c>
      <c r="AO5" s="112" cm="1">
        <f t="array" ref="AO5">INDEX('M01-S01'!$L$32:$L$71,2*(ROWS($AO$4:AO5)-1)+1)</f>
        <v>0</v>
      </c>
      <c r="AP5" s="112" cm="1">
        <f t="array" ref="AP5">INDEX('M01-S01'!$AD$32:$AD$71,2*(ROWS($AP$4:AP5)-1)+1)</f>
        <v>0</v>
      </c>
      <c r="AQ5" s="56" t="str">
        <f>IF(INDEX('M01-S01'!$AJ$32:$AJ$71,2*(ROWS($AQ$4:AQ5)-1)+1)="","",IF(AND(INDEX('M01-S01'!$AJ$32:$AJ$71,2*(ROWS($AQ$4:AQ5)-1)+1)&lt;&gt;"",OR(ISNUMBER(SEARCH("AC With",M02S02F32)),M02S02F32="Heat Pump")),LIGHTHEATCOIN,1))</f>
        <v/>
      </c>
      <c r="AR5" s="404" cm="1">
        <f t="array" ref="AR5">ROUND((IF(INDEX('M01-S01'!$AN$32:$AN$71,2*(ROWS($O$4:O5)-1)+1)=INDEX('M01-S01'!$BH$32:$BH$71,2*(ROWS($O$4:O5)-1)+1),0,(INDEX('M01-S01'!$BG$32:$BG$71,2*(ROWS($O$4:O5)-1)+1)-INDEX('M01-S01'!$BH$32:$BH$71,2*(ROWS($O$4:O5)-1)+1))))*INCENTCAPADJ,2)</f>
        <v>0</v>
      </c>
    </row>
    <row r="6" spans="1:154" x14ac:dyDescent="0.25">
      <c r="A6">
        <f t="shared" si="1"/>
        <v>0</v>
      </c>
      <c r="B6" t="str">
        <f t="shared" si="3"/>
        <v/>
      </c>
      <c r="C6" t="str" cm="1">
        <f t="array" ref="C6">IFERROR(IF(J6&gt;0,INDEX('M01-S01'!$BA$32:$BA$71,2*(ROWS($C$4:C6)-1)+1),""),"")</f>
        <v/>
      </c>
      <c r="D6" t="s">
        <v>939</v>
      </c>
      <c r="E6" t="str">
        <f t="shared" si="4"/>
        <v/>
      </c>
      <c r="F6" s="112" t="str" cm="1">
        <f t="array" ref="F6">INDEX('M01-S01'!AB$32:$AB$71,2*(ROWS($F$4:F6)-1)+1)</f>
        <v/>
      </c>
      <c r="G6" s="113"/>
      <c r="H6" s="56" cm="1">
        <f t="array" ref="H6">ROUND(INDEX('M01-S01'!$AF$32:$AF$71,2*(ROWS($H$4:H6)-1)+1)*INDEX('M01-S01'!$Z$32:$Z$71,2*(ROWS($H$4:H6)-1)+1),2)</f>
        <v>0</v>
      </c>
      <c r="I6" s="56" cm="1">
        <f t="array" ref="I6">ROUND(INDEX('M01-S01'!$AH$32:$AH$71,2*(ROWS($I$4:I6)-1)+1)*INDEX('M01-S01'!$Z$32:$Z$71,2*(ROWS($I$4:I6)-1)+1),2)</f>
        <v>0</v>
      </c>
      <c r="J6" s="56" cm="1">
        <f t="array" ref="J6">IFERROR(ROUND(INDEX('M01-S01'!$AT$32:$AT$71,2*(ROWS($J$4:J6)-1)+1),2),0)</f>
        <v>0</v>
      </c>
      <c r="K6" t="s">
        <v>86</v>
      </c>
      <c r="L6" s="117">
        <f>IF(ISNUMBER(INDEX('M01-S01'!$AN$32:$AN$71,2*(ROWS($L$4:L6)-1)+1)),INDEX('M01-S01'!$Z$32:$Z$71,2*(ROWS($L$4:L6)-1)+1),0)</f>
        <v>0</v>
      </c>
      <c r="M6" s="112" cm="1">
        <f t="array" ref="M6">IF(ISNUMBER(INDEX('M01-S01'!$AN$32:$AN$71,2*(ROWS($M$4:M6)-1)+1)),INDEX('M01-S01'!$AJ$32:$AJ$71,2*(ROWS($M$4:M6)-1)+1),0)</f>
        <v>0</v>
      </c>
      <c r="N6" s="134" cm="1">
        <f t="array" ref="N6">IF(ISNUMBER(INDEX('M01-S01'!$AN$32:$AN$71,2*(ROWS($N$4:N6)-1)+1)),INDEX('M01-S01'!$AU$32:$AU$71,2*(ROWS($N$4:N6)-1)+1),0)</f>
        <v>0</v>
      </c>
      <c r="O6" s="56" cm="1">
        <f t="array" ref="O6">IF(ISNUMBER(INDEX('M01-S01'!$AN$32:$AN$71,2*(ROWS($O$4:O6)-1)+1)),INDEX('M01-S01'!$AN$32:$AN$71,2*(ROWS($O$4:O6)-1)+1)*INCENTCAPADJ,0)</f>
        <v>0</v>
      </c>
      <c r="P6" s="112" t="str">
        <f>IFERROR(IF(NOT(ISNUMBER(INDEX('M01-S01'!$AN$32:$AN$71,2*(ROWS($P$4:P6)-1)+1))),INDEX('M01-S01'!$AJ$32:$AJ$71,2*(ROWS($P$4:P6)-1)+1),0),0)</f>
        <v/>
      </c>
      <c r="Q6" s="134" t="str">
        <f>IFERROR(IF(NOT(ISNUMBER(INDEX('M01-S01'!$AN$32:$AN$71,2*(ROWS($P$4:P6)-1)+1))),INDEX('M01-S01'!$AU$32:$AU$71,2*(ROWS($P$4:P6)-1)+1),0),0)</f>
        <v/>
      </c>
      <c r="R6" t="str">
        <f>IFERROR(IF(NOT(ISNUMBER(INDEX('M01-S01'!$AN$32:$AN$71,2*(ROWS($R$4:R6)-1)+1))),"Not Eligible",""),"")</f>
        <v>Not Eligible</v>
      </c>
      <c r="S6" s="117" t="str">
        <f>INDEX('M01-S01'!$J$32:$J$71,2*(ROWS($S$4:S6)-1)+1)</f>
        <v/>
      </c>
      <c r="T6" s="117">
        <f>INDEX('M01-S01'!$X$32:$X$71,2*(ROWS($T$4:T6)-1)+1)</f>
        <v>0</v>
      </c>
      <c r="U6" s="112" cm="1">
        <f t="array" ref="U6">INDEX('M01-S01'!$B$32:$B$71,2*(ROWS($U$4:U6)-1)+1)</f>
        <v>3</v>
      </c>
      <c r="V6" s="223">
        <f>INDEX('M01-S01'!F$32:$F$71,2*(ROWS($V$4:V6)-1)+1)</f>
        <v>0</v>
      </c>
      <c r="W6" s="53">
        <f>INDEX('M01-S01'!N$32:$N$71,2*(ROWS($W$4:W6)-1)+1)</f>
        <v>0</v>
      </c>
      <c r="X6" s="98"/>
      <c r="Y6">
        <f>INDEX('M01-S01'!R$32:$R$71,2*(ROWS($W$4:W6)-1)+1)</f>
        <v>0</v>
      </c>
      <c r="Z6" cm="1">
        <f t="array" ref="Z6">IFERROR(INDEX('M01-S01'!$AD$32:$AD$71,2*(ROWS($Z$4:Z6)-1)+1)/INDEX('M01-S01'!$AB$32:$AB$71,2*(ROWS(Z$4:$Z6)-1)+1),0)</f>
        <v>0</v>
      </c>
      <c r="AA6" t="str" cm="1">
        <f t="array" ref="AA6">IF(ISNUMBER(SEARCH("Linear",INDEX('M01-S01'!$C$32:$C$71,2*(ROWS($AA$4:AA6)-1)+1))),INDEX(CMLIGHTBASE[Measure Subgroup 1],MATCH(INDEX('M01-S01'!$F$32:$F$71,2*(ROWS($AA$4:AA6)-1)+1),CMLIGHTBASE[Base Desc 1],0)),"")</f>
        <v/>
      </c>
      <c r="AB6" t="str" cm="1">
        <f t="array" ref="AB6">IF(ISNUMBER(SEARCH("Linear",INDEX('M01-S01'!$C$32:$C$71,2*(ROWS($AB$4:AB6)-1)+1))),INDEX(CMLIGHTBASE[Measure Subgroup 2],MATCH(INDEX('M01-S01'!$F$32:$F$71,2*(ROWS($AB$4:AB6)-1)+1),CMLIGHTBASE[Base Desc 1],0)),"")</f>
        <v/>
      </c>
      <c r="AC6" s="98"/>
      <c r="AD6" s="53" t="str">
        <f>IF(ISNUMBER(INDEX('M01-S01'!$V$32:$V$71,2*(ROWS($AD$4:AD6)-1)+1)),INDEX('M01-S01'!$V$32:$V$71,2*(ROWS($AD$4:AD6)-1)+1)&amp;" Lamp","")</f>
        <v/>
      </c>
      <c r="AE6" s="112">
        <f>IFERROR(IF(NOT(ISNUMBER(INDEX('M01-S01'!$AN$32:$AN$71,2*(ROWS($AE$4:AE6)-1)+1))),INDEX('M01-S01'!$Z$32:$Z$71,2*(ROWS($AE$4:AE6)-1)+1),0),0)</f>
        <v>0</v>
      </c>
      <c r="AF6" s="112" t="str">
        <f>INDEX('M01-S01'!$AV$32:$AV$71,2*(ROWS($AF$4:AF6)-1)+1)</f>
        <v/>
      </c>
      <c r="AG6" s="112" t="str">
        <f>INDEX('M01-S01'!$AW$32:$AW$71,2*(ROWS($AF$4:AF6)-1)+1)</f>
        <v/>
      </c>
      <c r="AH6" s="112" t="str">
        <f t="shared" si="5"/>
        <v/>
      </c>
      <c r="AI6" s="112" t="str">
        <f t="shared" si="6"/>
        <v/>
      </c>
      <c r="AJ6" s="56" t="str">
        <f t="shared" si="7"/>
        <v/>
      </c>
      <c r="AK6" s="56" t="str">
        <f t="shared" si="8"/>
        <v/>
      </c>
      <c r="AL6" s="56" t="str">
        <f t="shared" si="9"/>
        <v/>
      </c>
      <c r="AM6" s="115"/>
      <c r="AN6" s="56" t="str">
        <f t="shared" si="10"/>
        <v/>
      </c>
      <c r="AO6" s="112" cm="1">
        <f t="array" ref="AO6">INDEX('M01-S01'!$L$32:$L$71,2*(ROWS($AO$4:AO6)-1)+1)</f>
        <v>0</v>
      </c>
      <c r="AP6" s="112" cm="1">
        <f t="array" ref="AP6">INDEX('M01-S01'!$AD$32:$AD$71,2*(ROWS($AP$4:AP6)-1)+1)</f>
        <v>0</v>
      </c>
      <c r="AQ6" s="56" t="str">
        <f>IF(INDEX('M01-S01'!$AJ$32:$AJ$71,2*(ROWS($AQ$4:AQ6)-1)+1)="","",IF(AND(INDEX('M01-S01'!$AJ$32:$AJ$71,2*(ROWS($AQ$4:AQ6)-1)+1)&lt;&gt;"",OR(ISNUMBER(SEARCH("AC With",M02S02F32)),M02S02F32="Heat Pump")),LIGHTHEATCOIN,1))</f>
        <v/>
      </c>
      <c r="AR6" s="404" cm="1">
        <f t="array" ref="AR6">ROUND((IF(INDEX('M01-S01'!$AN$32:$AN$71,2*(ROWS($O$4:O6)-1)+1)=INDEX('M01-S01'!$BH$32:$BH$71,2*(ROWS($O$4:O6)-1)+1),0,(INDEX('M01-S01'!$BG$32:$BG$71,2*(ROWS($O$4:O6)-1)+1)-INDEX('M01-S01'!$BH$32:$BH$71,2*(ROWS($O$4:O6)-1)+1))))*INCENTCAPADJ,2)</f>
        <v>0</v>
      </c>
    </row>
    <row r="7" spans="1:154" x14ac:dyDescent="0.25">
      <c r="A7">
        <f t="shared" si="1"/>
        <v>0</v>
      </c>
      <c r="B7" t="str">
        <f t="shared" si="3"/>
        <v/>
      </c>
      <c r="C7" t="str" cm="1">
        <f t="array" ref="C7">IFERROR(IF(J7&gt;0,INDEX('M01-S01'!$BA$32:$BA$71,2*(ROWS($C$4:C7)-1)+1),""),"")</f>
        <v/>
      </c>
      <c r="D7" t="s">
        <v>939</v>
      </c>
      <c r="E7" t="str">
        <f t="shared" si="4"/>
        <v/>
      </c>
      <c r="F7" s="112" t="str" cm="1">
        <f t="array" ref="F7">INDEX('M01-S01'!AB$32:$AB$71,2*(ROWS($F$4:F7)-1)+1)</f>
        <v/>
      </c>
      <c r="G7" s="113"/>
      <c r="H7" s="56" cm="1">
        <f t="array" ref="H7">ROUND(INDEX('M01-S01'!$AF$32:$AF$71,2*(ROWS($H$4:H7)-1)+1)*INDEX('M01-S01'!$Z$32:$Z$71,2*(ROWS($H$4:H7)-1)+1),2)</f>
        <v>0</v>
      </c>
      <c r="I7" s="56" cm="1">
        <f t="array" ref="I7">ROUND(INDEX('M01-S01'!$AH$32:$AH$71,2*(ROWS($I$4:I7)-1)+1)*INDEX('M01-S01'!$Z$32:$Z$71,2*(ROWS($I$4:I7)-1)+1),2)</f>
        <v>0</v>
      </c>
      <c r="J7" s="56" cm="1">
        <f t="array" ref="J7">IFERROR(ROUND(INDEX('M01-S01'!$AT$32:$AT$71,2*(ROWS($J$4:J7)-1)+1),2),0)</f>
        <v>0</v>
      </c>
      <c r="K7" t="s">
        <v>86</v>
      </c>
      <c r="L7" s="117">
        <f>IF(ISNUMBER(INDEX('M01-S01'!$AN$32:$AN$71,2*(ROWS($L$4:L7)-1)+1)),INDEX('M01-S01'!$Z$32:$Z$71,2*(ROWS($L$4:L7)-1)+1),0)</f>
        <v>0</v>
      </c>
      <c r="M7" s="112" cm="1">
        <f t="array" ref="M7">IF(ISNUMBER(INDEX('M01-S01'!$AN$32:$AN$71,2*(ROWS($M$4:M7)-1)+1)),INDEX('M01-S01'!$AJ$32:$AJ$71,2*(ROWS($M$4:M7)-1)+1),0)</f>
        <v>0</v>
      </c>
      <c r="N7" s="134" cm="1">
        <f t="array" ref="N7">IF(ISNUMBER(INDEX('M01-S01'!$AN$32:$AN$71,2*(ROWS($N$4:N7)-1)+1)),INDEX('M01-S01'!$AU$32:$AU$71,2*(ROWS($N$4:N7)-1)+1),0)</f>
        <v>0</v>
      </c>
      <c r="O7" s="56" cm="1">
        <f t="array" ref="O7">IF(ISNUMBER(INDEX('M01-S01'!$AN$32:$AN$71,2*(ROWS($O$4:O7)-1)+1)),INDEX('M01-S01'!$AN$32:$AN$71,2*(ROWS($O$4:O7)-1)+1)*INCENTCAPADJ,0)</f>
        <v>0</v>
      </c>
      <c r="P7" s="112" t="str">
        <f>IFERROR(IF(NOT(ISNUMBER(INDEX('M01-S01'!$AN$32:$AN$71,2*(ROWS($P$4:P7)-1)+1))),INDEX('M01-S01'!$AJ$32:$AJ$71,2*(ROWS($P$4:P7)-1)+1),0),0)</f>
        <v/>
      </c>
      <c r="Q7" s="134" t="str">
        <f>IFERROR(IF(NOT(ISNUMBER(INDEX('M01-S01'!$AN$32:$AN$71,2*(ROWS($P$4:P7)-1)+1))),INDEX('M01-S01'!$AU$32:$AU$71,2*(ROWS($P$4:P7)-1)+1),0),0)</f>
        <v/>
      </c>
      <c r="R7" t="str">
        <f>IFERROR(IF(NOT(ISNUMBER(INDEX('M01-S01'!$AN$32:$AN$71,2*(ROWS($R$4:R7)-1)+1))),"Not Eligible",""),"")</f>
        <v>Not Eligible</v>
      </c>
      <c r="S7" s="117" t="str">
        <f>INDEX('M01-S01'!$J$32:$J$71,2*(ROWS($S$4:S7)-1)+1)</f>
        <v/>
      </c>
      <c r="T7" s="117">
        <f>INDEX('M01-S01'!$X$32:$X$71,2*(ROWS($T$4:T7)-1)+1)</f>
        <v>0</v>
      </c>
      <c r="U7" s="112" cm="1">
        <f t="array" ref="U7">INDEX('M01-S01'!$B$32:$B$71,2*(ROWS($U$4:U7)-1)+1)</f>
        <v>4</v>
      </c>
      <c r="V7" s="223">
        <f>INDEX('M01-S01'!F$32:$F$71,2*(ROWS($V$4:V7)-1)+1)</f>
        <v>0</v>
      </c>
      <c r="W7" s="53">
        <f>INDEX('M01-S01'!N$32:$N$71,2*(ROWS($W$4:W7)-1)+1)</f>
        <v>0</v>
      </c>
      <c r="X7" s="98"/>
      <c r="Y7">
        <f>INDEX('M01-S01'!R$32:$R$71,2*(ROWS($W$4:W7)-1)+1)</f>
        <v>0</v>
      </c>
      <c r="Z7" cm="1">
        <f t="array" ref="Z7">IFERROR(INDEX('M01-S01'!$AD$32:$AD$71,2*(ROWS($Z$4:Z7)-1)+1)/INDEX('M01-S01'!$AB$32:$AB$71,2*(ROWS(Z$4:$Z7)-1)+1),0)</f>
        <v>0</v>
      </c>
      <c r="AA7" t="str" cm="1">
        <f t="array" ref="AA7">IF(ISNUMBER(SEARCH("Linear",INDEX('M01-S01'!$C$32:$C$71,2*(ROWS($AA$4:AA7)-1)+1))),INDEX(CMLIGHTBASE[Measure Subgroup 1],MATCH(INDEX('M01-S01'!$F$32:$F$71,2*(ROWS($AA$4:AA7)-1)+1),CMLIGHTBASE[Base Desc 1],0)),"")</f>
        <v/>
      </c>
      <c r="AB7" t="str" cm="1">
        <f t="array" ref="AB7">IF(ISNUMBER(SEARCH("Linear",INDEX('M01-S01'!$C$32:$C$71,2*(ROWS($AB$4:AB7)-1)+1))),INDEX(CMLIGHTBASE[Measure Subgroup 2],MATCH(INDEX('M01-S01'!$F$32:$F$71,2*(ROWS($AB$4:AB7)-1)+1),CMLIGHTBASE[Base Desc 1],0)),"")</f>
        <v/>
      </c>
      <c r="AC7" s="98"/>
      <c r="AD7" s="53" t="str">
        <f>IF(ISNUMBER(INDEX('M01-S01'!$V$32:$V$71,2*(ROWS($AD$4:AD7)-1)+1)),INDEX('M01-S01'!$V$32:$V$71,2*(ROWS($AD$4:AD7)-1)+1)&amp;" Lamp","")</f>
        <v/>
      </c>
      <c r="AE7" s="112">
        <f>IFERROR(IF(NOT(ISNUMBER(INDEX('M01-S01'!$AN$32:$AN$71,2*(ROWS($AE$4:AE7)-1)+1))),INDEX('M01-S01'!$Z$32:$Z$71,2*(ROWS($AE$4:AE7)-1)+1),0),0)</f>
        <v>0</v>
      </c>
      <c r="AF7" s="112" t="str">
        <f>INDEX('M01-S01'!$AV$32:$AV$71,2*(ROWS($AF$4:AF7)-1)+1)</f>
        <v/>
      </c>
      <c r="AG7" s="112" t="str">
        <f>INDEX('M01-S01'!$AW$32:$AW$71,2*(ROWS($AF$4:AF7)-1)+1)</f>
        <v/>
      </c>
      <c r="AH7" s="112" t="str">
        <f t="shared" si="5"/>
        <v/>
      </c>
      <c r="AI7" s="112" t="str">
        <f t="shared" si="6"/>
        <v/>
      </c>
      <c r="AJ7" s="56" t="str">
        <f t="shared" si="7"/>
        <v/>
      </c>
      <c r="AK7" s="56" t="str">
        <f t="shared" si="8"/>
        <v/>
      </c>
      <c r="AL7" s="56" t="str">
        <f t="shared" si="9"/>
        <v/>
      </c>
      <c r="AM7" s="115"/>
      <c r="AN7" s="56" t="str">
        <f t="shared" si="10"/>
        <v/>
      </c>
      <c r="AO7" s="112" cm="1">
        <f t="array" ref="AO7">INDEX('M01-S01'!$L$32:$L$71,2*(ROWS($AO$4:AO7)-1)+1)</f>
        <v>0</v>
      </c>
      <c r="AP7" s="112" cm="1">
        <f t="array" ref="AP7">INDEX('M01-S01'!$AD$32:$AD$71,2*(ROWS($AP$4:AP7)-1)+1)</f>
        <v>0</v>
      </c>
      <c r="AQ7" s="56" t="str">
        <f>IF(INDEX('M01-S01'!$AJ$32:$AJ$71,2*(ROWS($AQ$4:AQ7)-1)+1)="","",IF(AND(INDEX('M01-S01'!$AJ$32:$AJ$71,2*(ROWS($AQ$4:AQ7)-1)+1)&lt;&gt;"",OR(ISNUMBER(SEARCH("AC With",M02S02F32)),M02S02F32="Heat Pump")),LIGHTHEATCOIN,1))</f>
        <v/>
      </c>
      <c r="AR7" s="404" cm="1">
        <f t="array" ref="AR7">ROUND((IF(INDEX('M01-S01'!$AN$32:$AN$71,2*(ROWS($O$4:O7)-1)+1)=INDEX('M01-S01'!$BH$32:$BH$71,2*(ROWS($O$4:O7)-1)+1),0,(INDEX('M01-S01'!$BG$32:$BG$71,2*(ROWS($O$4:O7)-1)+1)-INDEX('M01-S01'!$BH$32:$BH$71,2*(ROWS($O$4:O7)-1)+1))))*INCENTCAPADJ,2)</f>
        <v>0</v>
      </c>
    </row>
    <row r="8" spans="1:154" x14ac:dyDescent="0.25">
      <c r="A8">
        <f t="shared" si="1"/>
        <v>0</v>
      </c>
      <c r="B8" t="str">
        <f t="shared" si="3"/>
        <v/>
      </c>
      <c r="C8" t="str" cm="1">
        <f t="array" ref="C8">IFERROR(IF(J8&gt;0,INDEX('M01-S01'!$BA$32:$BA$71,2*(ROWS($C$4:C8)-1)+1),""),"")</f>
        <v/>
      </c>
      <c r="D8" t="s">
        <v>939</v>
      </c>
      <c r="E8" t="str">
        <f t="shared" si="4"/>
        <v/>
      </c>
      <c r="F8" s="112" t="str" cm="1">
        <f t="array" ref="F8">INDEX('M01-S01'!AB$32:$AB$71,2*(ROWS($F$4:F8)-1)+1)</f>
        <v/>
      </c>
      <c r="G8" s="113"/>
      <c r="H8" s="56" cm="1">
        <f t="array" ref="H8">ROUND(INDEX('M01-S01'!$AF$32:$AF$71,2*(ROWS($H$4:H8)-1)+1)*INDEX('M01-S01'!$Z$32:$Z$71,2*(ROWS($H$4:H8)-1)+1),2)</f>
        <v>0</v>
      </c>
      <c r="I8" s="56" cm="1">
        <f t="array" ref="I8">ROUND(INDEX('M01-S01'!$AH$32:$AH$71,2*(ROWS($I$4:I8)-1)+1)*INDEX('M01-S01'!$Z$32:$Z$71,2*(ROWS($I$4:I8)-1)+1),2)</f>
        <v>0</v>
      </c>
      <c r="J8" s="56" cm="1">
        <f t="array" ref="J8">IFERROR(ROUND(INDEX('M01-S01'!$AT$32:$AT$71,2*(ROWS($J$4:J8)-1)+1),2),0)</f>
        <v>0</v>
      </c>
      <c r="K8" t="s">
        <v>86</v>
      </c>
      <c r="L8" s="117">
        <f>IF(ISNUMBER(INDEX('M01-S01'!$AN$32:$AN$71,2*(ROWS($L$4:L8)-1)+1)),INDEX('M01-S01'!$Z$32:$Z$71,2*(ROWS($L$4:L8)-1)+1),0)</f>
        <v>0</v>
      </c>
      <c r="M8" s="112" cm="1">
        <f t="array" ref="M8">IF(ISNUMBER(INDEX('M01-S01'!$AN$32:$AN$71,2*(ROWS($M$4:M8)-1)+1)),INDEX('M01-S01'!$AJ$32:$AJ$71,2*(ROWS($M$4:M8)-1)+1),0)</f>
        <v>0</v>
      </c>
      <c r="N8" s="134" cm="1">
        <f t="array" ref="N8">IF(ISNUMBER(INDEX('M01-S01'!$AN$32:$AN$71,2*(ROWS($N$4:N8)-1)+1)),INDEX('M01-S01'!$AU$32:$AU$71,2*(ROWS($N$4:N8)-1)+1),0)</f>
        <v>0</v>
      </c>
      <c r="O8" s="56" cm="1">
        <f t="array" ref="O8">IF(ISNUMBER(INDEX('M01-S01'!$AN$32:$AN$71,2*(ROWS($O$4:O8)-1)+1)),INDEX('M01-S01'!$AN$32:$AN$71,2*(ROWS($O$4:O8)-1)+1)*INCENTCAPADJ,0)</f>
        <v>0</v>
      </c>
      <c r="P8" s="112" t="str">
        <f>IFERROR(IF(NOT(ISNUMBER(INDEX('M01-S01'!$AN$32:$AN$71,2*(ROWS($P$4:P8)-1)+1))),INDEX('M01-S01'!$AJ$32:$AJ$71,2*(ROWS($P$4:P8)-1)+1),0),0)</f>
        <v/>
      </c>
      <c r="Q8" s="134" t="str">
        <f>IFERROR(IF(NOT(ISNUMBER(INDEX('M01-S01'!$AN$32:$AN$71,2*(ROWS($P$4:P8)-1)+1))),INDEX('M01-S01'!$AU$32:$AU$71,2*(ROWS($P$4:P8)-1)+1),0),0)</f>
        <v/>
      </c>
      <c r="R8" t="str">
        <f>IFERROR(IF(NOT(ISNUMBER(INDEX('M01-S01'!$AN$32:$AN$71,2*(ROWS($R$4:R8)-1)+1))),"Not Eligible",""),"")</f>
        <v>Not Eligible</v>
      </c>
      <c r="S8" s="117" t="str">
        <f>INDEX('M01-S01'!$J$32:$J$71,2*(ROWS($S$4:S8)-1)+1)</f>
        <v/>
      </c>
      <c r="T8" s="117">
        <f>INDEX('M01-S01'!$X$32:$X$71,2*(ROWS($T$4:T8)-1)+1)</f>
        <v>0</v>
      </c>
      <c r="U8" s="112" cm="1">
        <f t="array" ref="U8">INDEX('M01-S01'!$B$32:$B$71,2*(ROWS($U$4:U8)-1)+1)</f>
        <v>5</v>
      </c>
      <c r="V8" s="223">
        <f>INDEX('M01-S01'!F$32:$F$71,2*(ROWS($V$4:V8)-1)+1)</f>
        <v>0</v>
      </c>
      <c r="W8" s="53">
        <f>INDEX('M01-S01'!N$32:$N$71,2*(ROWS($W$4:W8)-1)+1)</f>
        <v>0</v>
      </c>
      <c r="X8" s="98"/>
      <c r="Y8">
        <f>INDEX('M01-S01'!R$32:$R$71,2*(ROWS($W$4:W8)-1)+1)</f>
        <v>0</v>
      </c>
      <c r="Z8" cm="1">
        <f t="array" ref="Z8">IFERROR(INDEX('M01-S01'!$AD$32:$AD$71,2*(ROWS($Z$4:Z8)-1)+1)/INDEX('M01-S01'!$AB$32:$AB$71,2*(ROWS(Z$4:$Z8)-1)+1),0)</f>
        <v>0</v>
      </c>
      <c r="AA8" t="str" cm="1">
        <f t="array" ref="AA8">IF(ISNUMBER(SEARCH("Linear",INDEX('M01-S01'!$C$32:$C$71,2*(ROWS($AA$4:AA8)-1)+1))),INDEX(CMLIGHTBASE[Measure Subgroup 1],MATCH(INDEX('M01-S01'!$F$32:$F$71,2*(ROWS($AA$4:AA8)-1)+1),CMLIGHTBASE[Base Desc 1],0)),"")</f>
        <v/>
      </c>
      <c r="AB8" t="str" cm="1">
        <f t="array" ref="AB8">IF(ISNUMBER(SEARCH("Linear",INDEX('M01-S01'!$C$32:$C$71,2*(ROWS($AB$4:AB8)-1)+1))),INDEX(CMLIGHTBASE[Measure Subgroup 2],MATCH(INDEX('M01-S01'!$F$32:$F$71,2*(ROWS($AB$4:AB8)-1)+1),CMLIGHTBASE[Base Desc 1],0)),"")</f>
        <v/>
      </c>
      <c r="AC8" s="98"/>
      <c r="AD8" s="53" t="str">
        <f>IF(ISNUMBER(INDEX('M01-S01'!$V$32:$V$71,2*(ROWS($AD$4:AD8)-1)+1)),INDEX('M01-S01'!$V$32:$V$71,2*(ROWS($AD$4:AD8)-1)+1)&amp;" Lamp","")</f>
        <v/>
      </c>
      <c r="AE8" s="112">
        <f>IFERROR(IF(NOT(ISNUMBER(INDEX('M01-S01'!$AN$32:$AN$71,2*(ROWS($AE$4:AE8)-1)+1))),INDEX('M01-S01'!$Z$32:$Z$71,2*(ROWS($AE$4:AE8)-1)+1),0),0)</f>
        <v>0</v>
      </c>
      <c r="AF8" s="112" t="str">
        <f>INDEX('M01-S01'!$AV$32:$AV$71,2*(ROWS($AF$4:AF8)-1)+1)</f>
        <v/>
      </c>
      <c r="AG8" s="112" t="str">
        <f>INDEX('M01-S01'!$AW$32:$AW$71,2*(ROWS($AF$4:AF8)-1)+1)</f>
        <v/>
      </c>
      <c r="AH8" s="112" t="str">
        <f t="shared" si="5"/>
        <v/>
      </c>
      <c r="AI8" s="112" t="str">
        <f t="shared" si="6"/>
        <v/>
      </c>
      <c r="AJ8" s="56" t="str">
        <f t="shared" si="7"/>
        <v/>
      </c>
      <c r="AK8" s="56" t="str">
        <f t="shared" si="8"/>
        <v/>
      </c>
      <c r="AL8" s="56" t="str">
        <f t="shared" si="9"/>
        <v/>
      </c>
      <c r="AM8" s="115"/>
      <c r="AN8" s="56" t="str">
        <f t="shared" si="10"/>
        <v/>
      </c>
      <c r="AO8" s="112" cm="1">
        <f t="array" ref="AO8">INDEX('M01-S01'!$L$32:$L$71,2*(ROWS($AO$4:AO8)-1)+1)</f>
        <v>0</v>
      </c>
      <c r="AP8" s="112" cm="1">
        <f t="array" ref="AP8">INDEX('M01-S01'!$AD$32:$AD$71,2*(ROWS($AP$4:AP8)-1)+1)</f>
        <v>0</v>
      </c>
      <c r="AQ8" s="56" t="str">
        <f>IF(INDEX('M01-S01'!$AJ$32:$AJ$71,2*(ROWS($AQ$4:AQ8)-1)+1)="","",IF(AND(INDEX('M01-S01'!$AJ$32:$AJ$71,2*(ROWS($AQ$4:AQ8)-1)+1)&lt;&gt;"",OR(ISNUMBER(SEARCH("AC With",M02S02F32)),M02S02F32="Heat Pump")),LIGHTHEATCOIN,1))</f>
        <v/>
      </c>
      <c r="AR8" s="404" cm="1">
        <f t="array" ref="AR8">ROUND((IF(INDEX('M01-S01'!$AN$32:$AN$71,2*(ROWS($O$4:O8)-1)+1)=INDEX('M01-S01'!$BH$32:$BH$71,2*(ROWS($O$4:O8)-1)+1),0,(INDEX('M01-S01'!$BG$32:$BG$71,2*(ROWS($O$4:O8)-1)+1)-INDEX('M01-S01'!$BH$32:$BH$71,2*(ROWS($O$4:O8)-1)+1))))*INCENTCAPADJ,2)</f>
        <v>0</v>
      </c>
    </row>
    <row r="9" spans="1:154" x14ac:dyDescent="0.25">
      <c r="A9">
        <f t="shared" si="1"/>
        <v>0</v>
      </c>
      <c r="B9" t="str">
        <f t="shared" si="3"/>
        <v/>
      </c>
      <c r="C9" t="str" cm="1">
        <f t="array" ref="C9">IFERROR(IF(J9&gt;0,INDEX('M01-S01'!$BA$32:$BA$71,2*(ROWS($C$4:C9)-1)+1),""),"")</f>
        <v/>
      </c>
      <c r="D9" t="s">
        <v>939</v>
      </c>
      <c r="E9" t="str">
        <f t="shared" si="4"/>
        <v/>
      </c>
      <c r="F9" s="112" t="str" cm="1">
        <f t="array" ref="F9">INDEX('M01-S01'!AB$32:$AB$71,2*(ROWS($F$4:F9)-1)+1)</f>
        <v/>
      </c>
      <c r="G9" s="113"/>
      <c r="H9" s="56" cm="1">
        <f t="array" ref="H9">ROUND(INDEX('M01-S01'!$AF$32:$AF$71,2*(ROWS($H$4:H9)-1)+1)*INDEX('M01-S01'!$Z$32:$Z$71,2*(ROWS($H$4:H9)-1)+1),2)</f>
        <v>0</v>
      </c>
      <c r="I9" s="56" cm="1">
        <f t="array" ref="I9">ROUND(INDEX('M01-S01'!$AH$32:$AH$71,2*(ROWS($I$4:I9)-1)+1)*INDEX('M01-S01'!$Z$32:$Z$71,2*(ROWS($I$4:I9)-1)+1),2)</f>
        <v>0</v>
      </c>
      <c r="J9" s="56" cm="1">
        <f t="array" ref="J9">IFERROR(ROUND(INDEX('M01-S01'!$AT$32:$AT$71,2*(ROWS($J$4:J9)-1)+1),2),0)</f>
        <v>0</v>
      </c>
      <c r="K9" t="s">
        <v>86</v>
      </c>
      <c r="L9" s="117">
        <f>IF(ISNUMBER(INDEX('M01-S01'!$AN$32:$AN$71,2*(ROWS($L$4:L9)-1)+1)),INDEX('M01-S01'!$Z$32:$Z$71,2*(ROWS($L$4:L9)-1)+1),0)</f>
        <v>0</v>
      </c>
      <c r="M9" s="112" cm="1">
        <f t="array" ref="M9">IF(ISNUMBER(INDEX('M01-S01'!$AN$32:$AN$71,2*(ROWS($M$4:M9)-1)+1)),INDEX('M01-S01'!$AJ$32:$AJ$71,2*(ROWS($M$4:M9)-1)+1),0)</f>
        <v>0</v>
      </c>
      <c r="N9" s="134" cm="1">
        <f t="array" ref="N9">IF(ISNUMBER(INDEX('M01-S01'!$AN$32:$AN$71,2*(ROWS($N$4:N9)-1)+1)),INDEX('M01-S01'!$AU$32:$AU$71,2*(ROWS($N$4:N9)-1)+1),0)</f>
        <v>0</v>
      </c>
      <c r="O9" s="56" cm="1">
        <f t="array" ref="O9">IF(ISNUMBER(INDEX('M01-S01'!$AN$32:$AN$71,2*(ROWS($O$4:O9)-1)+1)),INDEX('M01-S01'!$AN$32:$AN$71,2*(ROWS($O$4:O9)-1)+1)*INCENTCAPADJ,0)</f>
        <v>0</v>
      </c>
      <c r="P9" s="112" t="str">
        <f>IFERROR(IF(NOT(ISNUMBER(INDEX('M01-S01'!$AN$32:$AN$71,2*(ROWS($P$4:P9)-1)+1))),INDEX('M01-S01'!$AJ$32:$AJ$71,2*(ROWS($P$4:P9)-1)+1),0),0)</f>
        <v/>
      </c>
      <c r="Q9" s="134" t="str">
        <f>IFERROR(IF(NOT(ISNUMBER(INDEX('M01-S01'!$AN$32:$AN$71,2*(ROWS($P$4:P9)-1)+1))),INDEX('M01-S01'!$AU$32:$AU$71,2*(ROWS($P$4:P9)-1)+1),0),0)</f>
        <v/>
      </c>
      <c r="R9" t="str">
        <f>IFERROR(IF(NOT(ISNUMBER(INDEX('M01-S01'!$AN$32:$AN$71,2*(ROWS($R$4:R9)-1)+1))),"Not Eligible",""),"")</f>
        <v>Not Eligible</v>
      </c>
      <c r="S9" s="117" t="str">
        <f>INDEX('M01-S01'!$J$32:$J$71,2*(ROWS($S$4:S9)-1)+1)</f>
        <v/>
      </c>
      <c r="T9" s="117">
        <f>INDEX('M01-S01'!$X$32:$X$71,2*(ROWS($T$4:T9)-1)+1)</f>
        <v>0</v>
      </c>
      <c r="U9" s="112" cm="1">
        <f t="array" ref="U9">INDEX('M01-S01'!$B$32:$B$71,2*(ROWS($U$4:U9)-1)+1)</f>
        <v>6</v>
      </c>
      <c r="V9" s="223">
        <f>INDEX('M01-S01'!F$32:$F$71,2*(ROWS($V$4:V9)-1)+1)</f>
        <v>0</v>
      </c>
      <c r="W9" s="53">
        <f>INDEX('M01-S01'!N$32:$N$71,2*(ROWS($W$4:W9)-1)+1)</f>
        <v>0</v>
      </c>
      <c r="X9" s="98"/>
      <c r="Y9">
        <f>INDEX('M01-S01'!R$32:$R$71,2*(ROWS($W$4:W9)-1)+1)</f>
        <v>0</v>
      </c>
      <c r="Z9" cm="1">
        <f t="array" ref="Z9">IFERROR(INDEX('M01-S01'!$AD$32:$AD$71,2*(ROWS($Z$4:Z9)-1)+1)/INDEX('M01-S01'!$AB$32:$AB$71,2*(ROWS(Z$4:$Z9)-1)+1),0)</f>
        <v>0</v>
      </c>
      <c r="AA9" t="str" cm="1">
        <f t="array" ref="AA9">IF(ISNUMBER(SEARCH("Linear",INDEX('M01-S01'!$C$32:$C$71,2*(ROWS($AA$4:AA9)-1)+1))),INDEX(CMLIGHTBASE[Measure Subgroup 1],MATCH(INDEX('M01-S01'!$F$32:$F$71,2*(ROWS($AA$4:AA9)-1)+1),CMLIGHTBASE[Base Desc 1],0)),"")</f>
        <v/>
      </c>
      <c r="AB9" t="str" cm="1">
        <f t="array" ref="AB9">IF(ISNUMBER(SEARCH("Linear",INDEX('M01-S01'!$C$32:$C$71,2*(ROWS($AB$4:AB9)-1)+1))),INDEX(CMLIGHTBASE[Measure Subgroup 2],MATCH(INDEX('M01-S01'!$F$32:$F$71,2*(ROWS($AB$4:AB9)-1)+1),CMLIGHTBASE[Base Desc 1],0)),"")</f>
        <v/>
      </c>
      <c r="AC9" s="98"/>
      <c r="AD9" s="53" t="str">
        <f>IF(ISNUMBER(INDEX('M01-S01'!$V$32:$V$71,2*(ROWS($AD$4:AD9)-1)+1)),INDEX('M01-S01'!$V$32:$V$71,2*(ROWS($AD$4:AD9)-1)+1)&amp;" Lamp","")</f>
        <v/>
      </c>
      <c r="AE9" s="112">
        <f>IFERROR(IF(NOT(ISNUMBER(INDEX('M01-S01'!$AN$32:$AN$71,2*(ROWS($AE$4:AE9)-1)+1))),INDEX('M01-S01'!$Z$32:$Z$71,2*(ROWS($AE$4:AE9)-1)+1),0),0)</f>
        <v>0</v>
      </c>
      <c r="AF9" s="112" t="str">
        <f>INDEX('M01-S01'!$AV$32:$AV$71,2*(ROWS($AF$4:AF9)-1)+1)</f>
        <v/>
      </c>
      <c r="AG9" s="112" t="str">
        <f>INDEX('M01-S01'!$AW$32:$AW$71,2*(ROWS($AF$4:AF9)-1)+1)</f>
        <v/>
      </c>
      <c r="AH9" s="112" t="str">
        <f t="shared" si="5"/>
        <v/>
      </c>
      <c r="AI9" s="112" t="str">
        <f t="shared" si="6"/>
        <v/>
      </c>
      <c r="AJ9" s="56" t="str">
        <f t="shared" si="7"/>
        <v/>
      </c>
      <c r="AK9" s="56" t="str">
        <f t="shared" si="8"/>
        <v/>
      </c>
      <c r="AL9" s="56" t="str">
        <f t="shared" si="9"/>
        <v/>
      </c>
      <c r="AM9" s="115"/>
      <c r="AN9" s="56" t="str">
        <f t="shared" si="10"/>
        <v/>
      </c>
      <c r="AO9" s="112" cm="1">
        <f t="array" ref="AO9">INDEX('M01-S01'!$L$32:$L$71,2*(ROWS($AO$4:AO9)-1)+1)</f>
        <v>0</v>
      </c>
      <c r="AP9" s="112" cm="1">
        <f t="array" ref="AP9">INDEX('M01-S01'!$AD$32:$AD$71,2*(ROWS($AP$4:AP9)-1)+1)</f>
        <v>0</v>
      </c>
      <c r="AQ9" s="56" t="str">
        <f>IF(INDEX('M01-S01'!$AJ$32:$AJ$71,2*(ROWS($AQ$4:AQ9)-1)+1)="","",IF(AND(INDEX('M01-S01'!$AJ$32:$AJ$71,2*(ROWS($AQ$4:AQ9)-1)+1)&lt;&gt;"",OR(ISNUMBER(SEARCH("AC With",M02S02F32)),M02S02F32="Heat Pump")),LIGHTHEATCOIN,1))</f>
        <v/>
      </c>
      <c r="AR9" s="404" cm="1">
        <f t="array" ref="AR9">ROUND((IF(INDEX('M01-S01'!$AN$32:$AN$71,2*(ROWS($O$4:O9)-1)+1)=INDEX('M01-S01'!$BH$32:$BH$71,2*(ROWS($O$4:O9)-1)+1),0,(INDEX('M01-S01'!$BG$32:$BG$71,2*(ROWS($O$4:O9)-1)+1)-INDEX('M01-S01'!$BH$32:$BH$71,2*(ROWS($O$4:O9)-1)+1))))*INCENTCAPADJ,2)</f>
        <v>0</v>
      </c>
    </row>
    <row r="10" spans="1:154" x14ac:dyDescent="0.25">
      <c r="A10">
        <f t="shared" si="1"/>
        <v>0</v>
      </c>
      <c r="B10" t="str">
        <f t="shared" si="3"/>
        <v/>
      </c>
      <c r="C10" t="str" cm="1">
        <f t="array" ref="C10">IFERROR(IF(J10&gt;0,INDEX('M01-S01'!$BA$32:$BA$71,2*(ROWS($C$4:C10)-1)+1),""),"")</f>
        <v/>
      </c>
      <c r="D10" t="s">
        <v>939</v>
      </c>
      <c r="E10" t="str">
        <f t="shared" si="4"/>
        <v/>
      </c>
      <c r="F10" s="112" t="str" cm="1">
        <f t="array" ref="F10">INDEX('M01-S01'!AB$32:$AB$71,2*(ROWS($F$4:F10)-1)+1)</f>
        <v/>
      </c>
      <c r="G10" s="113"/>
      <c r="H10" s="56" cm="1">
        <f t="array" ref="H10">ROUND(INDEX('M01-S01'!$AF$32:$AF$71,2*(ROWS($H$4:H10)-1)+1)*INDEX('M01-S01'!$Z$32:$Z$71,2*(ROWS($H$4:H10)-1)+1),2)</f>
        <v>0</v>
      </c>
      <c r="I10" s="56" cm="1">
        <f t="array" ref="I10">ROUND(INDEX('M01-S01'!$AH$32:$AH$71,2*(ROWS($I$4:I10)-1)+1)*INDEX('M01-S01'!$Z$32:$Z$71,2*(ROWS($I$4:I10)-1)+1),2)</f>
        <v>0</v>
      </c>
      <c r="J10" s="56" cm="1">
        <f t="array" ref="J10">IFERROR(ROUND(INDEX('M01-S01'!$AT$32:$AT$71,2*(ROWS($J$4:J10)-1)+1),2),0)</f>
        <v>0</v>
      </c>
      <c r="K10" t="s">
        <v>86</v>
      </c>
      <c r="L10" s="117">
        <f>IF(ISNUMBER(INDEX('M01-S01'!$AN$32:$AN$71,2*(ROWS($L$4:L10)-1)+1)),INDEX('M01-S01'!$Z$32:$Z$71,2*(ROWS($L$4:L10)-1)+1),0)</f>
        <v>0</v>
      </c>
      <c r="M10" s="112" cm="1">
        <f t="array" ref="M10">IF(ISNUMBER(INDEX('M01-S01'!$AN$32:$AN$71,2*(ROWS($M$4:M10)-1)+1)),INDEX('M01-S01'!$AJ$32:$AJ$71,2*(ROWS($M$4:M10)-1)+1),0)</f>
        <v>0</v>
      </c>
      <c r="N10" s="134" cm="1">
        <f t="array" ref="N10">IF(ISNUMBER(INDEX('M01-S01'!$AN$32:$AN$71,2*(ROWS($N$4:N10)-1)+1)),INDEX('M01-S01'!$AU$32:$AU$71,2*(ROWS($N$4:N10)-1)+1),0)</f>
        <v>0</v>
      </c>
      <c r="O10" s="56" cm="1">
        <f t="array" ref="O10">IF(ISNUMBER(INDEX('M01-S01'!$AN$32:$AN$71,2*(ROWS($O$4:O10)-1)+1)),INDEX('M01-S01'!$AN$32:$AN$71,2*(ROWS($O$4:O10)-1)+1)*INCENTCAPADJ,0)</f>
        <v>0</v>
      </c>
      <c r="P10" s="112" t="str">
        <f>IFERROR(IF(NOT(ISNUMBER(INDEX('M01-S01'!$AN$32:$AN$71,2*(ROWS($P$4:P10)-1)+1))),INDEX('M01-S01'!$AJ$32:$AJ$71,2*(ROWS($P$4:P10)-1)+1),0),0)</f>
        <v/>
      </c>
      <c r="Q10" s="134" t="str">
        <f>IFERROR(IF(NOT(ISNUMBER(INDEX('M01-S01'!$AN$32:$AN$71,2*(ROWS($P$4:P10)-1)+1))),INDEX('M01-S01'!$AU$32:$AU$71,2*(ROWS($P$4:P10)-1)+1),0),0)</f>
        <v/>
      </c>
      <c r="R10" t="str">
        <f>IFERROR(IF(NOT(ISNUMBER(INDEX('M01-S01'!$AN$32:$AN$71,2*(ROWS($R$4:R10)-1)+1))),"Not Eligible",""),"")</f>
        <v>Not Eligible</v>
      </c>
      <c r="S10" s="117" t="str">
        <f>INDEX('M01-S01'!$J$32:$J$71,2*(ROWS($S$4:S10)-1)+1)</f>
        <v/>
      </c>
      <c r="T10" s="117">
        <f>INDEX('M01-S01'!$X$32:$X$71,2*(ROWS($T$4:T10)-1)+1)</f>
        <v>0</v>
      </c>
      <c r="U10" s="112" cm="1">
        <f t="array" ref="U10">INDEX('M01-S01'!$B$32:$B$71,2*(ROWS($U$4:U10)-1)+1)</f>
        <v>7</v>
      </c>
      <c r="V10" s="223">
        <f>INDEX('M01-S01'!F$32:$F$71,2*(ROWS($V$4:V10)-1)+1)</f>
        <v>0</v>
      </c>
      <c r="W10" s="53">
        <f>INDEX('M01-S01'!N$32:$N$71,2*(ROWS($W$4:W10)-1)+1)</f>
        <v>0</v>
      </c>
      <c r="X10" s="98"/>
      <c r="Y10">
        <f>INDEX('M01-S01'!R$32:$R$71,2*(ROWS($W$4:W10)-1)+1)</f>
        <v>0</v>
      </c>
      <c r="Z10" cm="1">
        <f t="array" ref="Z10">IFERROR(INDEX('M01-S01'!$AD$32:$AD$71,2*(ROWS($Z$4:Z10)-1)+1)/INDEX('M01-S01'!$AB$32:$AB$71,2*(ROWS(Z$4:$Z10)-1)+1),0)</f>
        <v>0</v>
      </c>
      <c r="AA10" t="str" cm="1">
        <f t="array" ref="AA10">IF(ISNUMBER(SEARCH("Linear",INDEX('M01-S01'!$C$32:$C$71,2*(ROWS($AA$4:AA10)-1)+1))),INDEX(CMLIGHTBASE[Measure Subgroup 1],MATCH(INDEX('M01-S01'!$F$32:$F$71,2*(ROWS($AA$4:AA10)-1)+1),CMLIGHTBASE[Base Desc 1],0)),"")</f>
        <v/>
      </c>
      <c r="AB10" t="str" cm="1">
        <f t="array" ref="AB10">IF(ISNUMBER(SEARCH("Linear",INDEX('M01-S01'!$C$32:$C$71,2*(ROWS($AB$4:AB10)-1)+1))),INDEX(CMLIGHTBASE[Measure Subgroup 2],MATCH(INDEX('M01-S01'!$F$32:$F$71,2*(ROWS($AB$4:AB10)-1)+1),CMLIGHTBASE[Base Desc 1],0)),"")</f>
        <v/>
      </c>
      <c r="AC10" s="98"/>
      <c r="AD10" s="53" t="str">
        <f>IF(ISNUMBER(INDEX('M01-S01'!$V$32:$V$71,2*(ROWS($AD$4:AD10)-1)+1)),INDEX('M01-S01'!$V$32:$V$71,2*(ROWS($AD$4:AD10)-1)+1)&amp;" Lamp","")</f>
        <v/>
      </c>
      <c r="AE10" s="112">
        <f>IFERROR(IF(NOT(ISNUMBER(INDEX('M01-S01'!$AN$32:$AN$71,2*(ROWS($AE$4:AE10)-1)+1))),INDEX('M01-S01'!$Z$32:$Z$71,2*(ROWS($AE$4:AE10)-1)+1),0),0)</f>
        <v>0</v>
      </c>
      <c r="AF10" s="112" t="str">
        <f>INDEX('M01-S01'!$AV$32:$AV$71,2*(ROWS($AF$4:AF10)-1)+1)</f>
        <v/>
      </c>
      <c r="AG10" s="112" t="str">
        <f>INDEX('M01-S01'!$AW$32:$AW$71,2*(ROWS($AF$4:AF10)-1)+1)</f>
        <v/>
      </c>
      <c r="AH10" s="112" t="str">
        <f t="shared" si="5"/>
        <v/>
      </c>
      <c r="AI10" s="112" t="str">
        <f t="shared" si="6"/>
        <v/>
      </c>
      <c r="AJ10" s="56" t="str">
        <f t="shared" si="7"/>
        <v/>
      </c>
      <c r="AK10" s="56" t="str">
        <f t="shared" si="8"/>
        <v/>
      </c>
      <c r="AL10" s="56" t="str">
        <f t="shared" si="9"/>
        <v/>
      </c>
      <c r="AM10" s="115"/>
      <c r="AN10" s="56" t="str">
        <f t="shared" si="10"/>
        <v/>
      </c>
      <c r="AO10" s="112" cm="1">
        <f t="array" ref="AO10">INDEX('M01-S01'!$L$32:$L$71,2*(ROWS($AO$4:AO10)-1)+1)</f>
        <v>0</v>
      </c>
      <c r="AP10" s="112" cm="1">
        <f t="array" ref="AP10">INDEX('M01-S01'!$AD$32:$AD$71,2*(ROWS($AP$4:AP10)-1)+1)</f>
        <v>0</v>
      </c>
      <c r="AQ10" s="56" t="str">
        <f>IF(INDEX('M01-S01'!$AJ$32:$AJ$71,2*(ROWS($AQ$4:AQ10)-1)+1)="","",IF(AND(INDEX('M01-S01'!$AJ$32:$AJ$71,2*(ROWS($AQ$4:AQ10)-1)+1)&lt;&gt;"",OR(ISNUMBER(SEARCH("AC With",M02S02F32)),M02S02F32="Heat Pump")),LIGHTHEATCOIN,1))</f>
        <v/>
      </c>
      <c r="AR10" s="404" cm="1">
        <f t="array" ref="AR10">ROUND((IF(INDEX('M01-S01'!$AN$32:$AN$71,2*(ROWS($O$4:O10)-1)+1)=INDEX('M01-S01'!$BH$32:$BH$71,2*(ROWS($O$4:O10)-1)+1),0,(INDEX('M01-S01'!$BG$32:$BG$71,2*(ROWS($O$4:O10)-1)+1)-INDEX('M01-S01'!$BH$32:$BH$71,2*(ROWS($O$4:O10)-1)+1))))*INCENTCAPADJ,2)</f>
        <v>0</v>
      </c>
    </row>
    <row r="11" spans="1:154" x14ac:dyDescent="0.25">
      <c r="A11">
        <f t="shared" si="1"/>
        <v>0</v>
      </c>
      <c r="B11" t="str">
        <f t="shared" si="3"/>
        <v/>
      </c>
      <c r="C11" t="str" cm="1">
        <f t="array" ref="C11">IFERROR(IF(J11&gt;0,INDEX('M01-S01'!$BA$32:$BA$71,2*(ROWS($C$4:C11)-1)+1),""),"")</f>
        <v/>
      </c>
      <c r="D11" t="s">
        <v>939</v>
      </c>
      <c r="E11" t="str">
        <f t="shared" si="4"/>
        <v/>
      </c>
      <c r="F11" s="112" t="str" cm="1">
        <f t="array" ref="F11">INDEX('M01-S01'!AB$32:$AB$71,2*(ROWS($F$4:F11)-1)+1)</f>
        <v/>
      </c>
      <c r="G11" s="113"/>
      <c r="H11" s="56" cm="1">
        <f t="array" ref="H11">ROUND(INDEX('M01-S01'!$AF$32:$AF$71,2*(ROWS($H$4:H11)-1)+1)*INDEX('M01-S01'!$Z$32:$Z$71,2*(ROWS($H$4:H11)-1)+1),2)</f>
        <v>0</v>
      </c>
      <c r="I11" s="56" cm="1">
        <f t="array" ref="I11">ROUND(INDEX('M01-S01'!$AH$32:$AH$71,2*(ROWS($I$4:I11)-1)+1)*INDEX('M01-S01'!$Z$32:$Z$71,2*(ROWS($I$4:I11)-1)+1),2)</f>
        <v>0</v>
      </c>
      <c r="J11" s="56" cm="1">
        <f t="array" ref="J11">IFERROR(ROUND(INDEX('M01-S01'!$AT$32:$AT$71,2*(ROWS($J$4:J11)-1)+1),2),0)</f>
        <v>0</v>
      </c>
      <c r="K11" t="s">
        <v>86</v>
      </c>
      <c r="L11" s="117">
        <f>IF(ISNUMBER(INDEX('M01-S01'!$AN$32:$AN$71,2*(ROWS($L$4:L11)-1)+1)),INDEX('M01-S01'!$Z$32:$Z$71,2*(ROWS($L$4:L11)-1)+1),0)</f>
        <v>0</v>
      </c>
      <c r="M11" s="112" cm="1">
        <f t="array" ref="M11">IF(ISNUMBER(INDEX('M01-S01'!$AN$32:$AN$71,2*(ROWS($M$4:M11)-1)+1)),INDEX('M01-S01'!$AJ$32:$AJ$71,2*(ROWS($M$4:M11)-1)+1),0)</f>
        <v>0</v>
      </c>
      <c r="N11" s="134" cm="1">
        <f t="array" ref="N11">IF(ISNUMBER(INDEX('M01-S01'!$AN$32:$AN$71,2*(ROWS($N$4:N11)-1)+1)),INDEX('M01-S01'!$AU$32:$AU$71,2*(ROWS($N$4:N11)-1)+1),0)</f>
        <v>0</v>
      </c>
      <c r="O11" s="56" cm="1">
        <f t="array" ref="O11">IF(ISNUMBER(INDEX('M01-S01'!$AN$32:$AN$71,2*(ROWS($O$4:O11)-1)+1)),INDEX('M01-S01'!$AN$32:$AN$71,2*(ROWS($O$4:O11)-1)+1)*INCENTCAPADJ,0)</f>
        <v>0</v>
      </c>
      <c r="P11" s="112" t="str">
        <f>IFERROR(IF(NOT(ISNUMBER(INDEX('M01-S01'!$AN$32:$AN$71,2*(ROWS($P$4:P11)-1)+1))),INDEX('M01-S01'!$AJ$32:$AJ$71,2*(ROWS($P$4:P11)-1)+1),0),0)</f>
        <v/>
      </c>
      <c r="Q11" s="134" t="str">
        <f>IFERROR(IF(NOT(ISNUMBER(INDEX('M01-S01'!$AN$32:$AN$71,2*(ROWS($P$4:P11)-1)+1))),INDEX('M01-S01'!$AU$32:$AU$71,2*(ROWS($P$4:P11)-1)+1),0),0)</f>
        <v/>
      </c>
      <c r="R11" t="str">
        <f>IFERROR(IF(NOT(ISNUMBER(INDEX('M01-S01'!$AN$32:$AN$71,2*(ROWS($R$4:R11)-1)+1))),"Not Eligible",""),"")</f>
        <v>Not Eligible</v>
      </c>
      <c r="S11" s="117" t="str">
        <f>INDEX('M01-S01'!$J$32:$J$71,2*(ROWS($S$4:S11)-1)+1)</f>
        <v/>
      </c>
      <c r="T11" s="117">
        <f>INDEX('M01-S01'!$X$32:$X$71,2*(ROWS($T$4:T11)-1)+1)</f>
        <v>0</v>
      </c>
      <c r="U11" s="112" cm="1">
        <f t="array" ref="U11">INDEX('M01-S01'!$B$32:$B$71,2*(ROWS($U$4:U11)-1)+1)</f>
        <v>8</v>
      </c>
      <c r="V11" s="223">
        <f>INDEX('M01-S01'!F$32:$F$71,2*(ROWS($V$4:V11)-1)+1)</f>
        <v>0</v>
      </c>
      <c r="W11" s="53">
        <f>INDEX('M01-S01'!N$32:$N$71,2*(ROWS($W$4:W11)-1)+1)</f>
        <v>0</v>
      </c>
      <c r="X11" s="98"/>
      <c r="Y11">
        <f>INDEX('M01-S01'!R$32:$R$71,2*(ROWS($W$4:W11)-1)+1)</f>
        <v>0</v>
      </c>
      <c r="Z11" cm="1">
        <f t="array" ref="Z11">IFERROR(INDEX('M01-S01'!$AD$32:$AD$71,2*(ROWS($Z$4:Z11)-1)+1)/INDEX('M01-S01'!$AB$32:$AB$71,2*(ROWS(Z$4:$Z11)-1)+1),0)</f>
        <v>0</v>
      </c>
      <c r="AA11" t="str" cm="1">
        <f t="array" ref="AA11">IF(ISNUMBER(SEARCH("Linear",INDEX('M01-S01'!$C$32:$C$71,2*(ROWS($AA$4:AA11)-1)+1))),INDEX(CMLIGHTBASE[Measure Subgroup 1],MATCH(INDEX('M01-S01'!$F$32:$F$71,2*(ROWS($AA$4:AA11)-1)+1),CMLIGHTBASE[Base Desc 1],0)),"")</f>
        <v/>
      </c>
      <c r="AB11" t="str" cm="1">
        <f t="array" ref="AB11">IF(ISNUMBER(SEARCH("Linear",INDEX('M01-S01'!$C$32:$C$71,2*(ROWS($AB$4:AB11)-1)+1))),INDEX(CMLIGHTBASE[Measure Subgroup 2],MATCH(INDEX('M01-S01'!$F$32:$F$71,2*(ROWS($AB$4:AB11)-1)+1),CMLIGHTBASE[Base Desc 1],0)),"")</f>
        <v/>
      </c>
      <c r="AC11" s="98"/>
      <c r="AD11" s="53" t="str">
        <f>IF(ISNUMBER(INDEX('M01-S01'!$V$32:$V$71,2*(ROWS($AD$4:AD11)-1)+1)),INDEX('M01-S01'!$V$32:$V$71,2*(ROWS($AD$4:AD11)-1)+1)&amp;" Lamp","")</f>
        <v/>
      </c>
      <c r="AE11" s="112">
        <f>IFERROR(IF(NOT(ISNUMBER(INDEX('M01-S01'!$AN$32:$AN$71,2*(ROWS($AE$4:AE11)-1)+1))),INDEX('M01-S01'!$Z$32:$Z$71,2*(ROWS($AE$4:AE11)-1)+1),0),0)</f>
        <v>0</v>
      </c>
      <c r="AF11" s="112" t="str">
        <f>INDEX('M01-S01'!$AV$32:$AV$71,2*(ROWS($AF$4:AF11)-1)+1)</f>
        <v/>
      </c>
      <c r="AG11" s="112" t="str">
        <f>INDEX('M01-S01'!$AW$32:$AW$71,2*(ROWS($AF$4:AF11)-1)+1)</f>
        <v/>
      </c>
      <c r="AH11" s="112" t="str">
        <f t="shared" si="5"/>
        <v/>
      </c>
      <c r="AI11" s="112" t="str">
        <f t="shared" si="6"/>
        <v/>
      </c>
      <c r="AJ11" s="56" t="str">
        <f t="shared" si="7"/>
        <v/>
      </c>
      <c r="AK11" s="56" t="str">
        <f t="shared" si="8"/>
        <v/>
      </c>
      <c r="AL11" s="56" t="str">
        <f t="shared" si="9"/>
        <v/>
      </c>
      <c r="AM11" s="115"/>
      <c r="AN11" s="56" t="str">
        <f t="shared" si="10"/>
        <v/>
      </c>
      <c r="AO11" s="112" cm="1">
        <f t="array" ref="AO11">INDEX('M01-S01'!$L$32:$L$71,2*(ROWS($AO$4:AO11)-1)+1)</f>
        <v>0</v>
      </c>
      <c r="AP11" s="112" cm="1">
        <f t="array" ref="AP11">INDEX('M01-S01'!$AD$32:$AD$71,2*(ROWS($AP$4:AP11)-1)+1)</f>
        <v>0</v>
      </c>
      <c r="AQ11" s="56" t="str">
        <f>IF(INDEX('M01-S01'!$AJ$32:$AJ$71,2*(ROWS($AQ$4:AQ11)-1)+1)="","",IF(AND(INDEX('M01-S01'!$AJ$32:$AJ$71,2*(ROWS($AQ$4:AQ11)-1)+1)&lt;&gt;"",OR(ISNUMBER(SEARCH("AC With",M02S02F32)),M02S02F32="Heat Pump")),LIGHTHEATCOIN,1))</f>
        <v/>
      </c>
      <c r="AR11" s="404" cm="1">
        <f t="array" ref="AR11">ROUND((IF(INDEX('M01-S01'!$AN$32:$AN$71,2*(ROWS($O$4:O11)-1)+1)=INDEX('M01-S01'!$BH$32:$BH$71,2*(ROWS($O$4:O11)-1)+1),0,(INDEX('M01-S01'!$BG$32:$BG$71,2*(ROWS($O$4:O11)-1)+1)-INDEX('M01-S01'!$BH$32:$BH$71,2*(ROWS($O$4:O11)-1)+1))))*INCENTCAPADJ,2)</f>
        <v>0</v>
      </c>
    </row>
    <row r="12" spans="1:154" x14ac:dyDescent="0.25">
      <c r="A12">
        <f t="shared" si="1"/>
        <v>0</v>
      </c>
      <c r="B12" t="str">
        <f t="shared" si="3"/>
        <v/>
      </c>
      <c r="C12" t="str" cm="1">
        <f t="array" ref="C12">IFERROR(IF(J12&gt;0,INDEX('M01-S01'!$BA$32:$BA$71,2*(ROWS($C$4:C12)-1)+1),""),"")</f>
        <v/>
      </c>
      <c r="D12" t="s">
        <v>939</v>
      </c>
      <c r="E12" t="str">
        <f t="shared" si="4"/>
        <v/>
      </c>
      <c r="F12" s="112" t="str" cm="1">
        <f t="array" ref="F12">INDEX('M01-S01'!AB$32:$AB$71,2*(ROWS($F$4:F12)-1)+1)</f>
        <v/>
      </c>
      <c r="G12" s="113"/>
      <c r="H12" s="56" cm="1">
        <f t="array" ref="H12">ROUND(INDEX('M01-S01'!$AF$32:$AF$71,2*(ROWS($H$4:H12)-1)+1)*INDEX('M01-S01'!$Z$32:$Z$71,2*(ROWS($H$4:H12)-1)+1),2)</f>
        <v>0</v>
      </c>
      <c r="I12" s="56" cm="1">
        <f t="array" ref="I12">ROUND(INDEX('M01-S01'!$AH$32:$AH$71,2*(ROWS($I$4:I12)-1)+1)*INDEX('M01-S01'!$Z$32:$Z$71,2*(ROWS($I$4:I12)-1)+1),2)</f>
        <v>0</v>
      </c>
      <c r="J12" s="56" cm="1">
        <f t="array" ref="J12">IFERROR(ROUND(INDEX('M01-S01'!$AT$32:$AT$71,2*(ROWS($J$4:J12)-1)+1),2),0)</f>
        <v>0</v>
      </c>
      <c r="K12" t="s">
        <v>86</v>
      </c>
      <c r="L12" s="117">
        <f>IF(ISNUMBER(INDEX('M01-S01'!$AN$32:$AN$71,2*(ROWS($L$4:L12)-1)+1)),INDEX('M01-S01'!$Z$32:$Z$71,2*(ROWS($L$4:L12)-1)+1),0)</f>
        <v>0</v>
      </c>
      <c r="M12" s="112" cm="1">
        <f t="array" ref="M12">IF(ISNUMBER(INDEX('M01-S01'!$AN$32:$AN$71,2*(ROWS($M$4:M12)-1)+1)),INDEX('M01-S01'!$AJ$32:$AJ$71,2*(ROWS($M$4:M12)-1)+1),0)</f>
        <v>0</v>
      </c>
      <c r="N12" s="134" cm="1">
        <f t="array" ref="N12">IF(ISNUMBER(INDEX('M01-S01'!$AN$32:$AN$71,2*(ROWS($N$4:N12)-1)+1)),INDEX('M01-S01'!$AU$32:$AU$71,2*(ROWS($N$4:N12)-1)+1),0)</f>
        <v>0</v>
      </c>
      <c r="O12" s="56" cm="1">
        <f t="array" ref="O12">IF(ISNUMBER(INDEX('M01-S01'!$AN$32:$AN$71,2*(ROWS($O$4:O12)-1)+1)),INDEX('M01-S01'!$AN$32:$AN$71,2*(ROWS($O$4:O12)-1)+1)*INCENTCAPADJ,0)</f>
        <v>0</v>
      </c>
      <c r="P12" s="112" t="str">
        <f>IFERROR(IF(NOT(ISNUMBER(INDEX('M01-S01'!$AN$32:$AN$71,2*(ROWS($P$4:P12)-1)+1))),INDEX('M01-S01'!$AJ$32:$AJ$71,2*(ROWS($P$4:P12)-1)+1),0),0)</f>
        <v/>
      </c>
      <c r="Q12" s="134" t="str">
        <f>IFERROR(IF(NOT(ISNUMBER(INDEX('M01-S01'!$AN$32:$AN$71,2*(ROWS($P$4:P12)-1)+1))),INDEX('M01-S01'!$AU$32:$AU$71,2*(ROWS($P$4:P12)-1)+1),0),0)</f>
        <v/>
      </c>
      <c r="R12" t="str">
        <f>IFERROR(IF(NOT(ISNUMBER(INDEX('M01-S01'!$AN$32:$AN$71,2*(ROWS($R$4:R12)-1)+1))),"Not Eligible",""),"")</f>
        <v>Not Eligible</v>
      </c>
      <c r="S12" s="117" t="str">
        <f>INDEX('M01-S01'!$J$32:$J$71,2*(ROWS($S$4:S12)-1)+1)</f>
        <v/>
      </c>
      <c r="T12" s="117">
        <f>INDEX('M01-S01'!$X$32:$X$71,2*(ROWS($T$4:T12)-1)+1)</f>
        <v>0</v>
      </c>
      <c r="U12" s="112" cm="1">
        <f t="array" ref="U12">INDEX('M01-S01'!$B$32:$B$71,2*(ROWS($U$4:U12)-1)+1)</f>
        <v>9</v>
      </c>
      <c r="V12" s="223">
        <f>INDEX('M01-S01'!F$32:$F$71,2*(ROWS($V$4:V12)-1)+1)</f>
        <v>0</v>
      </c>
      <c r="W12" s="53">
        <f>INDEX('M01-S01'!N$32:$N$71,2*(ROWS($W$4:W12)-1)+1)</f>
        <v>0</v>
      </c>
      <c r="X12" s="98"/>
      <c r="Y12">
        <f>INDEX('M01-S01'!R$32:$R$71,2*(ROWS($W$4:W12)-1)+1)</f>
        <v>0</v>
      </c>
      <c r="Z12" cm="1">
        <f t="array" ref="Z12">IFERROR(INDEX('M01-S01'!$AD$32:$AD$71,2*(ROWS($Z$4:Z12)-1)+1)/INDEX('M01-S01'!$AB$32:$AB$71,2*(ROWS(Z$4:$Z12)-1)+1),0)</f>
        <v>0</v>
      </c>
      <c r="AA12" t="str" cm="1">
        <f t="array" ref="AA12">IF(ISNUMBER(SEARCH("Linear",INDEX('M01-S01'!$C$32:$C$71,2*(ROWS($AA$4:AA12)-1)+1))),INDEX(CMLIGHTBASE[Measure Subgroup 1],MATCH(INDEX('M01-S01'!$F$32:$F$71,2*(ROWS($AA$4:AA12)-1)+1),CMLIGHTBASE[Base Desc 1],0)),"")</f>
        <v/>
      </c>
      <c r="AB12" t="str" cm="1">
        <f t="array" ref="AB12">IF(ISNUMBER(SEARCH("Linear",INDEX('M01-S01'!$C$32:$C$71,2*(ROWS($AB$4:AB12)-1)+1))),INDEX(CMLIGHTBASE[Measure Subgroup 2],MATCH(INDEX('M01-S01'!$F$32:$F$71,2*(ROWS($AB$4:AB12)-1)+1),CMLIGHTBASE[Base Desc 1],0)),"")</f>
        <v/>
      </c>
      <c r="AC12" s="98"/>
      <c r="AD12" s="53" t="str">
        <f>IF(ISNUMBER(INDEX('M01-S01'!$V$32:$V$71,2*(ROWS($AD$4:AD12)-1)+1)),INDEX('M01-S01'!$V$32:$V$71,2*(ROWS($AD$4:AD12)-1)+1)&amp;" Lamp","")</f>
        <v/>
      </c>
      <c r="AE12" s="112">
        <f>IFERROR(IF(NOT(ISNUMBER(INDEX('M01-S01'!$AN$32:$AN$71,2*(ROWS($AE$4:AE12)-1)+1))),INDEX('M01-S01'!$Z$32:$Z$71,2*(ROWS($AE$4:AE12)-1)+1),0),0)</f>
        <v>0</v>
      </c>
      <c r="AF12" s="112" t="str">
        <f>INDEX('M01-S01'!$AV$32:$AV$71,2*(ROWS($AF$4:AF12)-1)+1)</f>
        <v/>
      </c>
      <c r="AG12" s="112" t="str">
        <f>INDEX('M01-S01'!$AW$32:$AW$71,2*(ROWS($AF$4:AF12)-1)+1)</f>
        <v/>
      </c>
      <c r="AH12" s="112" t="str">
        <f t="shared" si="5"/>
        <v/>
      </c>
      <c r="AI12" s="112" t="str">
        <f t="shared" si="6"/>
        <v/>
      </c>
      <c r="AJ12" s="56" t="str">
        <f t="shared" si="7"/>
        <v/>
      </c>
      <c r="AK12" s="56" t="str">
        <f t="shared" si="8"/>
        <v/>
      </c>
      <c r="AL12" s="56" t="str">
        <f t="shared" si="9"/>
        <v/>
      </c>
      <c r="AM12" s="115"/>
      <c r="AN12" s="56" t="str">
        <f t="shared" si="10"/>
        <v/>
      </c>
      <c r="AO12" s="112" cm="1">
        <f t="array" ref="AO12">INDEX('M01-S01'!$L$32:$L$71,2*(ROWS($AO$4:AO12)-1)+1)</f>
        <v>0</v>
      </c>
      <c r="AP12" s="112" cm="1">
        <f t="array" ref="AP12">INDEX('M01-S01'!$AD$32:$AD$71,2*(ROWS($AP$4:AP12)-1)+1)</f>
        <v>0</v>
      </c>
      <c r="AQ12" s="56" t="str">
        <f>IF(INDEX('M01-S01'!$AJ$32:$AJ$71,2*(ROWS($AQ$4:AQ12)-1)+1)="","",IF(AND(INDEX('M01-S01'!$AJ$32:$AJ$71,2*(ROWS($AQ$4:AQ12)-1)+1)&lt;&gt;"",OR(ISNUMBER(SEARCH("AC With",M02S02F32)),M02S02F32="Heat Pump")),LIGHTHEATCOIN,1))</f>
        <v/>
      </c>
      <c r="AR12" s="404" cm="1">
        <f t="array" ref="AR12">ROUND((IF(INDEX('M01-S01'!$AN$32:$AN$71,2*(ROWS($O$4:O12)-1)+1)=INDEX('M01-S01'!$BH$32:$BH$71,2*(ROWS($O$4:O12)-1)+1),0,(INDEX('M01-S01'!$BG$32:$BG$71,2*(ROWS($O$4:O12)-1)+1)-INDEX('M01-S01'!$BH$32:$BH$71,2*(ROWS($O$4:O12)-1)+1))))*INCENTCAPADJ,2)</f>
        <v>0</v>
      </c>
    </row>
    <row r="13" spans="1:154" x14ac:dyDescent="0.25">
      <c r="A13">
        <f t="shared" si="1"/>
        <v>0</v>
      </c>
      <c r="B13" t="str">
        <f t="shared" si="3"/>
        <v/>
      </c>
      <c r="C13" t="str" cm="1">
        <f t="array" ref="C13">IFERROR(IF(J13&gt;0,INDEX('M01-S01'!$BA$32:$BA$71,2*(ROWS($C$4:C13)-1)+1),""),"")</f>
        <v/>
      </c>
      <c r="D13" t="s">
        <v>939</v>
      </c>
      <c r="E13" t="str">
        <f t="shared" si="4"/>
        <v/>
      </c>
      <c r="F13" s="112" t="str" cm="1">
        <f t="array" ref="F13">INDEX('M01-S01'!AB$32:$AB$71,2*(ROWS($F$4:F13)-1)+1)</f>
        <v/>
      </c>
      <c r="G13" s="113"/>
      <c r="H13" s="56" cm="1">
        <f t="array" ref="H13">ROUND(INDEX('M01-S01'!$AF$32:$AF$71,2*(ROWS($H$4:H13)-1)+1)*INDEX('M01-S01'!$Z$32:$Z$71,2*(ROWS($H$4:H13)-1)+1),2)</f>
        <v>0</v>
      </c>
      <c r="I13" s="56" cm="1">
        <f t="array" ref="I13">ROUND(INDEX('M01-S01'!$AH$32:$AH$71,2*(ROWS($I$4:I13)-1)+1)*INDEX('M01-S01'!$Z$32:$Z$71,2*(ROWS($I$4:I13)-1)+1),2)</f>
        <v>0</v>
      </c>
      <c r="J13" s="56" cm="1">
        <f t="array" ref="J13">IFERROR(ROUND(INDEX('M01-S01'!$AT$32:$AT$71,2*(ROWS($J$4:J13)-1)+1),2),0)</f>
        <v>0</v>
      </c>
      <c r="K13" t="s">
        <v>86</v>
      </c>
      <c r="L13" s="117">
        <f>IF(ISNUMBER(INDEX('M01-S01'!$AN$32:$AN$71,2*(ROWS($L$4:L13)-1)+1)),INDEX('M01-S01'!$Z$32:$Z$71,2*(ROWS($L$4:L13)-1)+1),0)</f>
        <v>0</v>
      </c>
      <c r="M13" s="112" cm="1">
        <f t="array" ref="M13">IF(ISNUMBER(INDEX('M01-S01'!$AN$32:$AN$71,2*(ROWS($M$4:M13)-1)+1)),INDEX('M01-S01'!$AJ$32:$AJ$71,2*(ROWS($M$4:M13)-1)+1),0)</f>
        <v>0</v>
      </c>
      <c r="N13" s="134" cm="1">
        <f t="array" ref="N13">IF(ISNUMBER(INDEX('M01-S01'!$AN$32:$AN$71,2*(ROWS($N$4:N13)-1)+1)),INDEX('M01-S01'!$AU$32:$AU$71,2*(ROWS($N$4:N13)-1)+1),0)</f>
        <v>0</v>
      </c>
      <c r="O13" s="56" cm="1">
        <f t="array" ref="O13">IF(ISNUMBER(INDEX('M01-S01'!$AN$32:$AN$71,2*(ROWS($O$4:O13)-1)+1)),INDEX('M01-S01'!$AN$32:$AN$71,2*(ROWS($O$4:O13)-1)+1)*INCENTCAPADJ,0)</f>
        <v>0</v>
      </c>
      <c r="P13" s="112" t="str">
        <f>IFERROR(IF(NOT(ISNUMBER(INDEX('M01-S01'!$AN$32:$AN$71,2*(ROWS($P$4:P13)-1)+1))),INDEX('M01-S01'!$AJ$32:$AJ$71,2*(ROWS($P$4:P13)-1)+1),0),0)</f>
        <v/>
      </c>
      <c r="Q13" s="134" t="str">
        <f>IFERROR(IF(NOT(ISNUMBER(INDEX('M01-S01'!$AN$32:$AN$71,2*(ROWS($P$4:P13)-1)+1))),INDEX('M01-S01'!$AU$32:$AU$71,2*(ROWS($P$4:P13)-1)+1),0),0)</f>
        <v/>
      </c>
      <c r="R13" t="str">
        <f>IFERROR(IF(NOT(ISNUMBER(INDEX('M01-S01'!$AN$32:$AN$71,2*(ROWS($R$4:R13)-1)+1))),"Not Eligible",""),"")</f>
        <v>Not Eligible</v>
      </c>
      <c r="S13" s="117" t="str">
        <f>INDEX('M01-S01'!$J$32:$J$71,2*(ROWS($S$4:S13)-1)+1)</f>
        <v/>
      </c>
      <c r="T13" s="117">
        <f>INDEX('M01-S01'!$X$32:$X$71,2*(ROWS($T$4:T13)-1)+1)</f>
        <v>0</v>
      </c>
      <c r="U13" s="112" cm="1">
        <f t="array" ref="U13">INDEX('M01-S01'!$B$32:$B$71,2*(ROWS($U$4:U13)-1)+1)</f>
        <v>10</v>
      </c>
      <c r="V13" s="223">
        <f>INDEX('M01-S01'!F$32:$F$71,2*(ROWS($V$4:V13)-1)+1)</f>
        <v>0</v>
      </c>
      <c r="W13" s="53">
        <f>INDEX('M01-S01'!N$32:$N$71,2*(ROWS($W$4:W13)-1)+1)</f>
        <v>0</v>
      </c>
      <c r="X13" s="98"/>
      <c r="Y13">
        <f>INDEX('M01-S01'!R$32:$R$71,2*(ROWS($W$4:W13)-1)+1)</f>
        <v>0</v>
      </c>
      <c r="Z13" cm="1">
        <f t="array" ref="Z13">IFERROR(INDEX('M01-S01'!$AD$32:$AD$71,2*(ROWS($Z$4:Z13)-1)+1)/INDEX('M01-S01'!$AB$32:$AB$71,2*(ROWS(Z$4:$Z13)-1)+1),0)</f>
        <v>0</v>
      </c>
      <c r="AA13" t="str" cm="1">
        <f t="array" ref="AA13">IF(ISNUMBER(SEARCH("Linear",INDEX('M01-S01'!$C$32:$C$71,2*(ROWS($AA$4:AA13)-1)+1))),INDEX(CMLIGHTBASE[Measure Subgroup 1],MATCH(INDEX('M01-S01'!$F$32:$F$71,2*(ROWS($AA$4:AA13)-1)+1),CMLIGHTBASE[Base Desc 1],0)),"")</f>
        <v/>
      </c>
      <c r="AB13" t="str" cm="1">
        <f t="array" ref="AB13">IF(ISNUMBER(SEARCH("Linear",INDEX('M01-S01'!$C$32:$C$71,2*(ROWS($AB$4:AB13)-1)+1))),INDEX(CMLIGHTBASE[Measure Subgroup 2],MATCH(INDEX('M01-S01'!$F$32:$F$71,2*(ROWS($AB$4:AB13)-1)+1),CMLIGHTBASE[Base Desc 1],0)),"")</f>
        <v/>
      </c>
      <c r="AC13" s="98"/>
      <c r="AD13" s="53" t="str">
        <f>IF(ISNUMBER(INDEX('M01-S01'!$V$32:$V$71,2*(ROWS($AD$4:AD13)-1)+1)),INDEX('M01-S01'!$V$32:$V$71,2*(ROWS($AD$4:AD13)-1)+1)&amp;" Lamp","")</f>
        <v/>
      </c>
      <c r="AE13" s="112">
        <f>IFERROR(IF(NOT(ISNUMBER(INDEX('M01-S01'!$AN$32:$AN$71,2*(ROWS($AE$4:AE13)-1)+1))),INDEX('M01-S01'!$Z$32:$Z$71,2*(ROWS($AE$4:AE13)-1)+1),0),0)</f>
        <v>0</v>
      </c>
      <c r="AF13" s="112" t="str">
        <f>INDEX('M01-S01'!$AV$32:$AV$71,2*(ROWS($AF$4:AF13)-1)+1)</f>
        <v/>
      </c>
      <c r="AG13" s="112" t="str">
        <f>INDEX('M01-S01'!$AW$32:$AW$71,2*(ROWS($AF$4:AF13)-1)+1)</f>
        <v/>
      </c>
      <c r="AH13" s="112" t="str">
        <f t="shared" si="5"/>
        <v/>
      </c>
      <c r="AI13" s="112" t="str">
        <f t="shared" si="6"/>
        <v/>
      </c>
      <c r="AJ13" s="56" t="str">
        <f t="shared" si="7"/>
        <v/>
      </c>
      <c r="AK13" s="56" t="str">
        <f t="shared" si="8"/>
        <v/>
      </c>
      <c r="AL13" s="56" t="str">
        <f t="shared" si="9"/>
        <v/>
      </c>
      <c r="AM13" s="115"/>
      <c r="AN13" s="56" t="str">
        <f t="shared" si="10"/>
        <v/>
      </c>
      <c r="AO13" s="112" cm="1">
        <f t="array" ref="AO13">INDEX('M01-S01'!$L$32:$L$71,2*(ROWS($AO$4:AO13)-1)+1)</f>
        <v>0</v>
      </c>
      <c r="AP13" s="112" cm="1">
        <f t="array" ref="AP13">INDEX('M01-S01'!$AD$32:$AD$71,2*(ROWS($AP$4:AP13)-1)+1)</f>
        <v>0</v>
      </c>
      <c r="AQ13" s="56" t="str">
        <f>IF(INDEX('M01-S01'!$AJ$32:$AJ$71,2*(ROWS($AQ$4:AQ13)-1)+1)="","",IF(AND(INDEX('M01-S01'!$AJ$32:$AJ$71,2*(ROWS($AQ$4:AQ13)-1)+1)&lt;&gt;"",OR(ISNUMBER(SEARCH("AC With",M02S02F32)),M02S02F32="Heat Pump")),LIGHTHEATCOIN,1))</f>
        <v/>
      </c>
      <c r="AR13" s="404" cm="1">
        <f t="array" ref="AR13">ROUND((IF(INDEX('M01-S01'!$AN$32:$AN$71,2*(ROWS($O$4:O13)-1)+1)=INDEX('M01-S01'!$BH$32:$BH$71,2*(ROWS($O$4:O13)-1)+1),0,(INDEX('M01-S01'!$BG$32:$BG$71,2*(ROWS($O$4:O13)-1)+1)-INDEX('M01-S01'!$BH$32:$BH$71,2*(ROWS($O$4:O13)-1)+1))))*INCENTCAPADJ,2)</f>
        <v>0</v>
      </c>
    </row>
    <row r="14" spans="1:154" x14ac:dyDescent="0.25">
      <c r="A14">
        <f t="shared" si="1"/>
        <v>0</v>
      </c>
      <c r="B14" t="str">
        <f t="shared" si="3"/>
        <v/>
      </c>
      <c r="C14" t="str" cm="1">
        <f t="array" ref="C14">IFERROR(IF(J14&gt;0,INDEX('M01-S01'!$BA$32:$BA$71,2*(ROWS($C$4:C14)-1)+1),""),"")</f>
        <v/>
      </c>
      <c r="D14" t="s">
        <v>939</v>
      </c>
      <c r="E14" t="str">
        <f t="shared" si="4"/>
        <v/>
      </c>
      <c r="F14" s="112" t="str" cm="1">
        <f t="array" ref="F14">INDEX('M01-S01'!AB$32:$AB$71,2*(ROWS($F$4:F14)-1)+1)</f>
        <v/>
      </c>
      <c r="G14" s="113"/>
      <c r="H14" s="56" cm="1">
        <f t="array" ref="H14">ROUND(INDEX('M01-S01'!$AF$32:$AF$71,2*(ROWS($H$4:H14)-1)+1)*INDEX('M01-S01'!$Z$32:$Z$71,2*(ROWS($H$4:H14)-1)+1),2)</f>
        <v>0</v>
      </c>
      <c r="I14" s="56" cm="1">
        <f t="array" ref="I14">ROUND(INDEX('M01-S01'!$AH$32:$AH$71,2*(ROWS($I$4:I14)-1)+1)*INDEX('M01-S01'!$Z$32:$Z$71,2*(ROWS($I$4:I14)-1)+1),2)</f>
        <v>0</v>
      </c>
      <c r="J14" s="56" cm="1">
        <f t="array" ref="J14">IFERROR(ROUND(INDEX('M01-S01'!$AT$32:$AT$71,2*(ROWS($J$4:J14)-1)+1),2),0)</f>
        <v>0</v>
      </c>
      <c r="K14" t="s">
        <v>86</v>
      </c>
      <c r="L14" s="117">
        <f>IF(ISNUMBER(INDEX('M01-S01'!$AN$32:$AN$71,2*(ROWS($L$4:L14)-1)+1)),INDEX('M01-S01'!$Z$32:$Z$71,2*(ROWS($L$4:L14)-1)+1),0)</f>
        <v>0</v>
      </c>
      <c r="M14" s="112" cm="1">
        <f t="array" ref="M14">IF(ISNUMBER(INDEX('M01-S01'!$AN$32:$AN$71,2*(ROWS($M$4:M14)-1)+1)),INDEX('M01-S01'!$AJ$32:$AJ$71,2*(ROWS($M$4:M14)-1)+1),0)</f>
        <v>0</v>
      </c>
      <c r="N14" s="134" cm="1">
        <f t="array" ref="N14">IF(ISNUMBER(INDEX('M01-S01'!$AN$32:$AN$71,2*(ROWS($N$4:N14)-1)+1)),INDEX('M01-S01'!$AU$32:$AU$71,2*(ROWS($N$4:N14)-1)+1),0)</f>
        <v>0</v>
      </c>
      <c r="O14" s="56" cm="1">
        <f t="array" ref="O14">IF(ISNUMBER(INDEX('M01-S01'!$AN$32:$AN$71,2*(ROWS($O$4:O14)-1)+1)),INDEX('M01-S01'!$AN$32:$AN$71,2*(ROWS($O$4:O14)-1)+1)*INCENTCAPADJ,0)</f>
        <v>0</v>
      </c>
      <c r="P14" s="112" t="str">
        <f>IFERROR(IF(NOT(ISNUMBER(INDEX('M01-S01'!$AN$32:$AN$71,2*(ROWS($P$4:P14)-1)+1))),INDEX('M01-S01'!$AJ$32:$AJ$71,2*(ROWS($P$4:P14)-1)+1),0),0)</f>
        <v/>
      </c>
      <c r="Q14" s="134" t="str">
        <f>IFERROR(IF(NOT(ISNUMBER(INDEX('M01-S01'!$AN$32:$AN$71,2*(ROWS($P$4:P14)-1)+1))),INDEX('M01-S01'!$AU$32:$AU$71,2*(ROWS($P$4:P14)-1)+1),0),0)</f>
        <v/>
      </c>
      <c r="R14" t="str">
        <f>IFERROR(IF(NOT(ISNUMBER(INDEX('M01-S01'!$AN$32:$AN$71,2*(ROWS($R$4:R14)-1)+1))),"Not Eligible",""),"")</f>
        <v>Not Eligible</v>
      </c>
      <c r="S14" s="117" t="str">
        <f>INDEX('M01-S01'!$J$32:$J$71,2*(ROWS($S$4:S14)-1)+1)</f>
        <v/>
      </c>
      <c r="T14" s="117">
        <f>INDEX('M01-S01'!$X$32:$X$71,2*(ROWS($T$4:T14)-1)+1)</f>
        <v>0</v>
      </c>
      <c r="U14" s="112" cm="1">
        <f t="array" ref="U14">INDEX('M01-S01'!$B$32:$B$71,2*(ROWS($U$4:U14)-1)+1)</f>
        <v>11</v>
      </c>
      <c r="V14" s="223">
        <f>INDEX('M01-S01'!F$32:$F$71,2*(ROWS($V$4:V14)-1)+1)</f>
        <v>0</v>
      </c>
      <c r="W14" s="53">
        <f>INDEX('M01-S01'!N$32:$N$71,2*(ROWS($W$4:W14)-1)+1)</f>
        <v>0</v>
      </c>
      <c r="X14" s="98"/>
      <c r="Y14">
        <f>INDEX('M01-S01'!R$32:$R$71,2*(ROWS($W$4:W14)-1)+1)</f>
        <v>0</v>
      </c>
      <c r="Z14" cm="1">
        <f t="array" ref="Z14">IFERROR(INDEX('M01-S01'!$AD$32:$AD$71,2*(ROWS($Z$4:Z14)-1)+1)/INDEX('M01-S01'!$AB$32:$AB$71,2*(ROWS(Z$4:$Z14)-1)+1),0)</f>
        <v>0</v>
      </c>
      <c r="AA14" t="str" cm="1">
        <f t="array" ref="AA14">IF(ISNUMBER(SEARCH("Linear",INDEX('M01-S01'!$C$32:$C$71,2*(ROWS($AA$4:AA14)-1)+1))),INDEX(CMLIGHTBASE[Measure Subgroup 1],MATCH(INDEX('M01-S01'!$F$32:$F$71,2*(ROWS($AA$4:AA14)-1)+1),CMLIGHTBASE[Base Desc 1],0)),"")</f>
        <v/>
      </c>
      <c r="AB14" t="str" cm="1">
        <f t="array" ref="AB14">IF(ISNUMBER(SEARCH("Linear",INDEX('M01-S01'!$C$32:$C$71,2*(ROWS($AB$4:AB14)-1)+1))),INDEX(CMLIGHTBASE[Measure Subgroup 2],MATCH(INDEX('M01-S01'!$F$32:$F$71,2*(ROWS($AB$4:AB14)-1)+1),CMLIGHTBASE[Base Desc 1],0)),"")</f>
        <v/>
      </c>
      <c r="AC14" s="98"/>
      <c r="AD14" s="53" t="str">
        <f>IF(ISNUMBER(INDEX('M01-S01'!$V$32:$V$71,2*(ROWS($AD$4:AD14)-1)+1)),INDEX('M01-S01'!$V$32:$V$71,2*(ROWS($AD$4:AD14)-1)+1)&amp;" Lamp","")</f>
        <v/>
      </c>
      <c r="AE14" s="112">
        <f>IFERROR(IF(NOT(ISNUMBER(INDEX('M01-S01'!$AN$32:$AN$71,2*(ROWS($AE$4:AE14)-1)+1))),INDEX('M01-S01'!$Z$32:$Z$71,2*(ROWS($AE$4:AE14)-1)+1),0),0)</f>
        <v>0</v>
      </c>
      <c r="AF14" s="112" t="str">
        <f>INDEX('M01-S01'!$AV$32:$AV$71,2*(ROWS($AF$4:AF14)-1)+1)</f>
        <v/>
      </c>
      <c r="AG14" s="112" t="str">
        <f>INDEX('M01-S01'!$AW$32:$AW$71,2*(ROWS($AF$4:AF14)-1)+1)</f>
        <v/>
      </c>
      <c r="AH14" s="112" t="str">
        <f t="shared" si="5"/>
        <v/>
      </c>
      <c r="AI14" s="112" t="str">
        <f t="shared" si="6"/>
        <v/>
      </c>
      <c r="AJ14" s="56" t="str">
        <f t="shared" si="7"/>
        <v/>
      </c>
      <c r="AK14" s="56" t="str">
        <f t="shared" si="8"/>
        <v/>
      </c>
      <c r="AL14" s="56" t="str">
        <f t="shared" si="9"/>
        <v/>
      </c>
      <c r="AM14" s="115"/>
      <c r="AN14" s="56" t="str">
        <f t="shared" si="10"/>
        <v/>
      </c>
      <c r="AO14" s="112" cm="1">
        <f t="array" ref="AO14">INDEX('M01-S01'!$L$32:$L$71,2*(ROWS($AO$4:AO14)-1)+1)</f>
        <v>0</v>
      </c>
      <c r="AP14" s="112" cm="1">
        <f t="array" ref="AP14">INDEX('M01-S01'!$AD$32:$AD$71,2*(ROWS($AP$4:AP14)-1)+1)</f>
        <v>0</v>
      </c>
      <c r="AQ14" s="56" t="str">
        <f>IF(INDEX('M01-S01'!$AJ$32:$AJ$71,2*(ROWS($AQ$4:AQ14)-1)+1)="","",IF(AND(INDEX('M01-S01'!$AJ$32:$AJ$71,2*(ROWS($AQ$4:AQ14)-1)+1)&lt;&gt;"",OR(ISNUMBER(SEARCH("AC With",M02S02F32)),M02S02F32="Heat Pump")),LIGHTHEATCOIN,1))</f>
        <v/>
      </c>
      <c r="AR14" s="404" cm="1">
        <f t="array" ref="AR14">ROUND((IF(INDEX('M01-S01'!$AN$32:$AN$71,2*(ROWS($O$4:O14)-1)+1)=INDEX('M01-S01'!$BH$32:$BH$71,2*(ROWS($O$4:O14)-1)+1),0,(INDEX('M01-S01'!$BG$32:$BG$71,2*(ROWS($O$4:O14)-1)+1)-INDEX('M01-S01'!$BH$32:$BH$71,2*(ROWS($O$4:O14)-1)+1))))*INCENTCAPADJ,2)</f>
        <v>0</v>
      </c>
    </row>
    <row r="15" spans="1:154" x14ac:dyDescent="0.25">
      <c r="A15">
        <f t="shared" si="1"/>
        <v>0</v>
      </c>
      <c r="B15" t="str">
        <f t="shared" si="3"/>
        <v/>
      </c>
      <c r="C15" t="str" cm="1">
        <f t="array" ref="C15">IFERROR(IF(J15&gt;0,INDEX('M01-S01'!$BA$32:$BA$71,2*(ROWS($C$4:C15)-1)+1),""),"")</f>
        <v/>
      </c>
      <c r="D15" t="s">
        <v>939</v>
      </c>
      <c r="E15" t="str">
        <f t="shared" si="4"/>
        <v/>
      </c>
      <c r="F15" s="112" t="str" cm="1">
        <f t="array" ref="F15">INDEX('M01-S01'!AB$32:$AB$71,2*(ROWS($F$4:F15)-1)+1)</f>
        <v/>
      </c>
      <c r="G15" s="113"/>
      <c r="H15" s="56" cm="1">
        <f t="array" ref="H15">ROUND(INDEX('M01-S01'!$AF$32:$AF$71,2*(ROWS($H$4:H15)-1)+1)*INDEX('M01-S01'!$Z$32:$Z$71,2*(ROWS($H$4:H15)-1)+1),2)</f>
        <v>0</v>
      </c>
      <c r="I15" s="56" cm="1">
        <f t="array" ref="I15">ROUND(INDEX('M01-S01'!$AH$32:$AH$71,2*(ROWS($I$4:I15)-1)+1)*INDEX('M01-S01'!$Z$32:$Z$71,2*(ROWS($I$4:I15)-1)+1),2)</f>
        <v>0</v>
      </c>
      <c r="J15" s="56" cm="1">
        <f t="array" ref="J15">IFERROR(ROUND(INDEX('M01-S01'!$AT$32:$AT$71,2*(ROWS($J$4:J15)-1)+1),2),0)</f>
        <v>0</v>
      </c>
      <c r="K15" t="s">
        <v>86</v>
      </c>
      <c r="L15" s="117">
        <f>IF(ISNUMBER(INDEX('M01-S01'!$AN$32:$AN$71,2*(ROWS($L$4:L15)-1)+1)),INDEX('M01-S01'!$Z$32:$Z$71,2*(ROWS($L$4:L15)-1)+1),0)</f>
        <v>0</v>
      </c>
      <c r="M15" s="112" cm="1">
        <f t="array" ref="M15">IF(ISNUMBER(INDEX('M01-S01'!$AN$32:$AN$71,2*(ROWS($M$4:M15)-1)+1)),INDEX('M01-S01'!$AJ$32:$AJ$71,2*(ROWS($M$4:M15)-1)+1),0)</f>
        <v>0</v>
      </c>
      <c r="N15" s="134" cm="1">
        <f t="array" ref="N15">IF(ISNUMBER(INDEX('M01-S01'!$AN$32:$AN$71,2*(ROWS($N$4:N15)-1)+1)),INDEX('M01-S01'!$AU$32:$AU$71,2*(ROWS($N$4:N15)-1)+1),0)</f>
        <v>0</v>
      </c>
      <c r="O15" s="56" cm="1">
        <f t="array" ref="O15">IF(ISNUMBER(INDEX('M01-S01'!$AN$32:$AN$71,2*(ROWS($O$4:O15)-1)+1)),INDEX('M01-S01'!$AN$32:$AN$71,2*(ROWS($O$4:O15)-1)+1)*INCENTCAPADJ,0)</f>
        <v>0</v>
      </c>
      <c r="P15" s="112" t="str">
        <f>IFERROR(IF(NOT(ISNUMBER(INDEX('M01-S01'!$AN$32:$AN$71,2*(ROWS($P$4:P15)-1)+1))),INDEX('M01-S01'!$AJ$32:$AJ$71,2*(ROWS($P$4:P15)-1)+1),0),0)</f>
        <v/>
      </c>
      <c r="Q15" s="134" t="str">
        <f>IFERROR(IF(NOT(ISNUMBER(INDEX('M01-S01'!$AN$32:$AN$71,2*(ROWS($P$4:P15)-1)+1))),INDEX('M01-S01'!$AU$32:$AU$71,2*(ROWS($P$4:P15)-1)+1),0),0)</f>
        <v/>
      </c>
      <c r="R15" t="str">
        <f>IFERROR(IF(NOT(ISNUMBER(INDEX('M01-S01'!$AN$32:$AN$71,2*(ROWS($R$4:R15)-1)+1))),"Not Eligible",""),"")</f>
        <v>Not Eligible</v>
      </c>
      <c r="S15" s="117" t="str">
        <f>INDEX('M01-S01'!$J$32:$J$71,2*(ROWS($S$4:S15)-1)+1)</f>
        <v/>
      </c>
      <c r="T15" s="117">
        <f>INDEX('M01-S01'!$X$32:$X$71,2*(ROWS($T$4:T15)-1)+1)</f>
        <v>0</v>
      </c>
      <c r="U15" s="112" cm="1">
        <f t="array" ref="U15">INDEX('M01-S01'!$B$32:$B$71,2*(ROWS($U$4:U15)-1)+1)</f>
        <v>12</v>
      </c>
      <c r="V15" s="223">
        <f>INDEX('M01-S01'!F$32:$F$71,2*(ROWS($V$4:V15)-1)+1)</f>
        <v>0</v>
      </c>
      <c r="W15" s="53">
        <f>INDEX('M01-S01'!N$32:$N$71,2*(ROWS($W$4:W15)-1)+1)</f>
        <v>0</v>
      </c>
      <c r="X15" s="98"/>
      <c r="Y15">
        <f>INDEX('M01-S01'!R$32:$R$71,2*(ROWS($W$4:W15)-1)+1)</f>
        <v>0</v>
      </c>
      <c r="Z15" cm="1">
        <f t="array" ref="Z15">IFERROR(INDEX('M01-S01'!$AD$32:$AD$71,2*(ROWS($Z$4:Z15)-1)+1)/INDEX('M01-S01'!$AB$32:$AB$71,2*(ROWS(Z$4:$Z15)-1)+1),0)</f>
        <v>0</v>
      </c>
      <c r="AA15" t="str" cm="1">
        <f t="array" ref="AA15">IF(ISNUMBER(SEARCH("Linear",INDEX('M01-S01'!$C$32:$C$71,2*(ROWS($AA$4:AA15)-1)+1))),INDEX(CMLIGHTBASE[Measure Subgroup 1],MATCH(INDEX('M01-S01'!$F$32:$F$71,2*(ROWS($AA$4:AA15)-1)+1),CMLIGHTBASE[Base Desc 1],0)),"")</f>
        <v/>
      </c>
      <c r="AB15" t="str" cm="1">
        <f t="array" ref="AB15">IF(ISNUMBER(SEARCH("Linear",INDEX('M01-S01'!$C$32:$C$71,2*(ROWS($AB$4:AB15)-1)+1))),INDEX(CMLIGHTBASE[Measure Subgroup 2],MATCH(INDEX('M01-S01'!$F$32:$F$71,2*(ROWS($AB$4:AB15)-1)+1),CMLIGHTBASE[Base Desc 1],0)),"")</f>
        <v/>
      </c>
      <c r="AC15" s="98"/>
      <c r="AD15" s="53" t="str">
        <f>IF(ISNUMBER(INDEX('M01-S01'!$V$32:$V$71,2*(ROWS($AD$4:AD15)-1)+1)),INDEX('M01-S01'!$V$32:$V$71,2*(ROWS($AD$4:AD15)-1)+1)&amp;" Lamp","")</f>
        <v/>
      </c>
      <c r="AE15" s="112">
        <f>IFERROR(IF(NOT(ISNUMBER(INDEX('M01-S01'!$AN$32:$AN$71,2*(ROWS($AE$4:AE15)-1)+1))),INDEX('M01-S01'!$Z$32:$Z$71,2*(ROWS($AE$4:AE15)-1)+1),0),0)</f>
        <v>0</v>
      </c>
      <c r="AF15" s="112" t="str">
        <f>INDEX('M01-S01'!$AV$32:$AV$71,2*(ROWS($AF$4:AF15)-1)+1)</f>
        <v/>
      </c>
      <c r="AG15" s="112" t="str">
        <f>INDEX('M01-S01'!$AW$32:$AW$71,2*(ROWS($AF$4:AF15)-1)+1)</f>
        <v/>
      </c>
      <c r="AH15" s="112" t="str">
        <f t="shared" si="5"/>
        <v/>
      </c>
      <c r="AI15" s="112" t="str">
        <f t="shared" si="6"/>
        <v/>
      </c>
      <c r="AJ15" s="56" t="str">
        <f t="shared" si="7"/>
        <v/>
      </c>
      <c r="AK15" s="56" t="str">
        <f t="shared" si="8"/>
        <v/>
      </c>
      <c r="AL15" s="56" t="str">
        <f t="shared" si="9"/>
        <v/>
      </c>
      <c r="AM15" s="115"/>
      <c r="AN15" s="56" t="str">
        <f t="shared" si="10"/>
        <v/>
      </c>
      <c r="AO15" s="112" cm="1">
        <f t="array" ref="AO15">INDEX('M01-S01'!$L$32:$L$71,2*(ROWS($AO$4:AO15)-1)+1)</f>
        <v>0</v>
      </c>
      <c r="AP15" s="112" cm="1">
        <f t="array" ref="AP15">INDEX('M01-S01'!$AD$32:$AD$71,2*(ROWS($AP$4:AP15)-1)+1)</f>
        <v>0</v>
      </c>
      <c r="AQ15" s="56" t="str">
        <f>IF(INDEX('M01-S01'!$AJ$32:$AJ$71,2*(ROWS($AQ$4:AQ15)-1)+1)="","",IF(AND(INDEX('M01-S01'!$AJ$32:$AJ$71,2*(ROWS($AQ$4:AQ15)-1)+1)&lt;&gt;"",OR(ISNUMBER(SEARCH("AC With",M02S02F32)),M02S02F32="Heat Pump")),LIGHTHEATCOIN,1))</f>
        <v/>
      </c>
      <c r="AR15" s="404" cm="1">
        <f t="array" ref="AR15">ROUND((IF(INDEX('M01-S01'!$AN$32:$AN$71,2*(ROWS($O$4:O15)-1)+1)=INDEX('M01-S01'!$BH$32:$BH$71,2*(ROWS($O$4:O15)-1)+1),0,(INDEX('M01-S01'!$BG$32:$BG$71,2*(ROWS($O$4:O15)-1)+1)-INDEX('M01-S01'!$BH$32:$BH$71,2*(ROWS($O$4:O15)-1)+1))))*INCENTCAPADJ,2)</f>
        <v>0</v>
      </c>
    </row>
    <row r="16" spans="1:154" x14ac:dyDescent="0.25">
      <c r="A16">
        <f t="shared" si="1"/>
        <v>0</v>
      </c>
      <c r="B16" t="str">
        <f t="shared" si="3"/>
        <v/>
      </c>
      <c r="C16" t="str" cm="1">
        <f t="array" ref="C16">IFERROR(IF(J16&gt;0,INDEX('M01-S01'!$BA$32:$BA$71,2*(ROWS($C$4:C16)-1)+1),""),"")</f>
        <v/>
      </c>
      <c r="D16" t="s">
        <v>939</v>
      </c>
      <c r="E16" t="str">
        <f t="shared" si="4"/>
        <v/>
      </c>
      <c r="F16" s="112" t="str" cm="1">
        <f t="array" ref="F16">INDEX('M01-S01'!AB$32:$AB$71,2*(ROWS($F$4:F16)-1)+1)</f>
        <v/>
      </c>
      <c r="G16" s="113"/>
      <c r="H16" s="56" cm="1">
        <f t="array" ref="H16">ROUND(INDEX('M01-S01'!$AF$32:$AF$71,2*(ROWS($H$4:H16)-1)+1)*INDEX('M01-S01'!$Z$32:$Z$71,2*(ROWS($H$4:H16)-1)+1),2)</f>
        <v>0</v>
      </c>
      <c r="I16" s="56" cm="1">
        <f t="array" ref="I16">ROUND(INDEX('M01-S01'!$AH$32:$AH$71,2*(ROWS($I$4:I16)-1)+1)*INDEX('M01-S01'!$Z$32:$Z$71,2*(ROWS($I$4:I16)-1)+1),2)</f>
        <v>0</v>
      </c>
      <c r="J16" s="56" cm="1">
        <f t="array" ref="J16">IFERROR(ROUND(INDEX('M01-S01'!$AT$32:$AT$71,2*(ROWS($J$4:J16)-1)+1),2),0)</f>
        <v>0</v>
      </c>
      <c r="K16" t="s">
        <v>86</v>
      </c>
      <c r="L16" s="117">
        <f>IF(ISNUMBER(INDEX('M01-S01'!$AN$32:$AN$71,2*(ROWS($L$4:L16)-1)+1)),INDEX('M01-S01'!$Z$32:$Z$71,2*(ROWS($L$4:L16)-1)+1),0)</f>
        <v>0</v>
      </c>
      <c r="M16" s="112" cm="1">
        <f t="array" ref="M16">IF(ISNUMBER(INDEX('M01-S01'!$AN$32:$AN$71,2*(ROWS($M$4:M16)-1)+1)),INDEX('M01-S01'!$AJ$32:$AJ$71,2*(ROWS($M$4:M16)-1)+1),0)</f>
        <v>0</v>
      </c>
      <c r="N16" s="134" cm="1">
        <f t="array" ref="N16">IF(ISNUMBER(INDEX('M01-S01'!$AN$32:$AN$71,2*(ROWS($N$4:N16)-1)+1)),INDEX('M01-S01'!$AU$32:$AU$71,2*(ROWS($N$4:N16)-1)+1),0)</f>
        <v>0</v>
      </c>
      <c r="O16" s="56" cm="1">
        <f t="array" ref="O16">IF(ISNUMBER(INDEX('M01-S01'!$AN$32:$AN$71,2*(ROWS($O$4:O16)-1)+1)),INDEX('M01-S01'!$AN$32:$AN$71,2*(ROWS($O$4:O16)-1)+1)*INCENTCAPADJ,0)</f>
        <v>0</v>
      </c>
      <c r="P16" s="112" t="str">
        <f>IFERROR(IF(NOT(ISNUMBER(INDEX('M01-S01'!$AN$32:$AN$71,2*(ROWS($P$4:P16)-1)+1))),INDEX('M01-S01'!$AJ$32:$AJ$71,2*(ROWS($P$4:P16)-1)+1),0),0)</f>
        <v/>
      </c>
      <c r="Q16" s="134" t="str">
        <f>IFERROR(IF(NOT(ISNUMBER(INDEX('M01-S01'!$AN$32:$AN$71,2*(ROWS($P$4:P16)-1)+1))),INDEX('M01-S01'!$AU$32:$AU$71,2*(ROWS($P$4:P16)-1)+1),0),0)</f>
        <v/>
      </c>
      <c r="R16" t="str">
        <f>IFERROR(IF(NOT(ISNUMBER(INDEX('M01-S01'!$AN$32:$AN$71,2*(ROWS($R$4:R16)-1)+1))),"Not Eligible",""),"")</f>
        <v>Not Eligible</v>
      </c>
      <c r="S16" s="117" t="str">
        <f>INDEX('M01-S01'!$J$32:$J$71,2*(ROWS($S$4:S16)-1)+1)</f>
        <v/>
      </c>
      <c r="T16" s="117">
        <f>INDEX('M01-S01'!$X$32:$X$71,2*(ROWS($T$4:T16)-1)+1)</f>
        <v>0</v>
      </c>
      <c r="U16" s="112" cm="1">
        <f t="array" ref="U16">INDEX('M01-S01'!$B$32:$B$71,2*(ROWS($U$4:U16)-1)+1)</f>
        <v>13</v>
      </c>
      <c r="V16" s="223">
        <f>INDEX('M01-S01'!F$32:$F$71,2*(ROWS($V$4:V16)-1)+1)</f>
        <v>0</v>
      </c>
      <c r="W16" s="53">
        <f>INDEX('M01-S01'!N$32:$N$71,2*(ROWS($W$4:W16)-1)+1)</f>
        <v>0</v>
      </c>
      <c r="X16" s="98"/>
      <c r="Y16">
        <f>INDEX('M01-S01'!R$32:$R$71,2*(ROWS($W$4:W16)-1)+1)</f>
        <v>0</v>
      </c>
      <c r="Z16" cm="1">
        <f t="array" ref="Z16">IFERROR(INDEX('M01-S01'!$AD$32:$AD$71,2*(ROWS($Z$4:Z16)-1)+1)/INDEX('M01-S01'!$AB$32:$AB$71,2*(ROWS(Z$4:$Z16)-1)+1),0)</f>
        <v>0</v>
      </c>
      <c r="AA16" t="str" cm="1">
        <f t="array" ref="AA16">IF(ISNUMBER(SEARCH("Linear",INDEX('M01-S01'!$C$32:$C$71,2*(ROWS($AA$4:AA16)-1)+1))),INDEX(CMLIGHTBASE[Measure Subgroup 1],MATCH(INDEX('M01-S01'!$F$32:$F$71,2*(ROWS($AA$4:AA16)-1)+1),CMLIGHTBASE[Base Desc 1],0)),"")</f>
        <v/>
      </c>
      <c r="AB16" t="str" cm="1">
        <f t="array" ref="AB16">IF(ISNUMBER(SEARCH("Linear",INDEX('M01-S01'!$C$32:$C$71,2*(ROWS($AB$4:AB16)-1)+1))),INDEX(CMLIGHTBASE[Measure Subgroup 2],MATCH(INDEX('M01-S01'!$F$32:$F$71,2*(ROWS($AB$4:AB16)-1)+1),CMLIGHTBASE[Base Desc 1],0)),"")</f>
        <v/>
      </c>
      <c r="AC16" s="98"/>
      <c r="AD16" s="53" t="str">
        <f>IF(ISNUMBER(INDEX('M01-S01'!$V$32:$V$71,2*(ROWS($AD$4:AD16)-1)+1)),INDEX('M01-S01'!$V$32:$V$71,2*(ROWS($AD$4:AD16)-1)+1)&amp;" Lamp","")</f>
        <v/>
      </c>
      <c r="AE16" s="112">
        <f>IFERROR(IF(NOT(ISNUMBER(INDEX('M01-S01'!$AN$32:$AN$71,2*(ROWS($AE$4:AE16)-1)+1))),INDEX('M01-S01'!$Z$32:$Z$71,2*(ROWS($AE$4:AE16)-1)+1),0),0)</f>
        <v>0</v>
      </c>
      <c r="AF16" s="112" t="str">
        <f>INDEX('M01-S01'!$AV$32:$AV$71,2*(ROWS($AF$4:AF16)-1)+1)</f>
        <v/>
      </c>
      <c r="AG16" s="112" t="str">
        <f>INDEX('M01-S01'!$AW$32:$AW$71,2*(ROWS($AF$4:AF16)-1)+1)</f>
        <v/>
      </c>
      <c r="AH16" s="112" t="str">
        <f t="shared" si="5"/>
        <v/>
      </c>
      <c r="AI16" s="112" t="str">
        <f t="shared" si="6"/>
        <v/>
      </c>
      <c r="AJ16" s="56" t="str">
        <f t="shared" si="7"/>
        <v/>
      </c>
      <c r="AK16" s="56" t="str">
        <f t="shared" si="8"/>
        <v/>
      </c>
      <c r="AL16" s="56" t="str">
        <f t="shared" si="9"/>
        <v/>
      </c>
      <c r="AM16" s="115"/>
      <c r="AN16" s="56" t="str">
        <f t="shared" si="10"/>
        <v/>
      </c>
      <c r="AO16" s="112" cm="1">
        <f t="array" ref="AO16">INDEX('M01-S01'!$L$32:$L$71,2*(ROWS($AO$4:AO16)-1)+1)</f>
        <v>0</v>
      </c>
      <c r="AP16" s="112" cm="1">
        <f t="array" ref="AP16">INDEX('M01-S01'!$AD$32:$AD$71,2*(ROWS($AP$4:AP16)-1)+1)</f>
        <v>0</v>
      </c>
      <c r="AQ16" s="56" t="str">
        <f>IF(INDEX('M01-S01'!$AJ$32:$AJ$71,2*(ROWS($AQ$4:AQ16)-1)+1)="","",IF(AND(INDEX('M01-S01'!$AJ$32:$AJ$71,2*(ROWS($AQ$4:AQ16)-1)+1)&lt;&gt;"",OR(ISNUMBER(SEARCH("AC With",M02S02F32)),M02S02F32="Heat Pump")),LIGHTHEATCOIN,1))</f>
        <v/>
      </c>
      <c r="AR16" s="404" cm="1">
        <f t="array" ref="AR16">ROUND((IF(INDEX('M01-S01'!$AN$32:$AN$71,2*(ROWS($O$4:O16)-1)+1)=INDEX('M01-S01'!$BH$32:$BH$71,2*(ROWS($O$4:O16)-1)+1),0,(INDEX('M01-S01'!$BG$32:$BG$71,2*(ROWS($O$4:O16)-1)+1)-INDEX('M01-S01'!$BH$32:$BH$71,2*(ROWS($O$4:O16)-1)+1))))*INCENTCAPADJ,2)</f>
        <v>0</v>
      </c>
    </row>
    <row r="17" spans="1:44" x14ac:dyDescent="0.25">
      <c r="A17">
        <f t="shared" si="1"/>
        <v>0</v>
      </c>
      <c r="B17" t="str">
        <f t="shared" si="3"/>
        <v/>
      </c>
      <c r="C17" t="str" cm="1">
        <f t="array" ref="C17">IFERROR(IF(J17&gt;0,INDEX('M01-S01'!$BA$32:$BA$71,2*(ROWS($C$4:C17)-1)+1),""),"")</f>
        <v/>
      </c>
      <c r="D17" t="s">
        <v>939</v>
      </c>
      <c r="E17" t="str">
        <f t="shared" si="4"/>
        <v/>
      </c>
      <c r="F17" s="112" t="str" cm="1">
        <f t="array" ref="F17">INDEX('M01-S01'!AB$32:$AB$71,2*(ROWS($F$4:F17)-1)+1)</f>
        <v/>
      </c>
      <c r="G17" s="113"/>
      <c r="H17" s="56" cm="1">
        <f t="array" ref="H17">ROUND(INDEX('M01-S01'!$AF$32:$AF$71,2*(ROWS($H$4:H17)-1)+1)*INDEX('M01-S01'!$Z$32:$Z$71,2*(ROWS($H$4:H17)-1)+1),2)</f>
        <v>0</v>
      </c>
      <c r="I17" s="56" cm="1">
        <f t="array" ref="I17">ROUND(INDEX('M01-S01'!$AH$32:$AH$71,2*(ROWS($I$4:I17)-1)+1)*INDEX('M01-S01'!$Z$32:$Z$71,2*(ROWS($I$4:I17)-1)+1),2)</f>
        <v>0</v>
      </c>
      <c r="J17" s="56" cm="1">
        <f t="array" ref="J17">IFERROR(ROUND(INDEX('M01-S01'!$AT$32:$AT$71,2*(ROWS($J$4:J17)-1)+1),2),0)</f>
        <v>0</v>
      </c>
      <c r="K17" t="s">
        <v>86</v>
      </c>
      <c r="L17" s="117">
        <f>IF(ISNUMBER(INDEX('M01-S01'!$AN$32:$AN$71,2*(ROWS($L$4:L17)-1)+1)),INDEX('M01-S01'!$Z$32:$Z$71,2*(ROWS($L$4:L17)-1)+1),0)</f>
        <v>0</v>
      </c>
      <c r="M17" s="112" cm="1">
        <f t="array" ref="M17">IF(ISNUMBER(INDEX('M01-S01'!$AN$32:$AN$71,2*(ROWS($M$4:M17)-1)+1)),INDEX('M01-S01'!$AJ$32:$AJ$71,2*(ROWS($M$4:M17)-1)+1),0)</f>
        <v>0</v>
      </c>
      <c r="N17" s="134" cm="1">
        <f t="array" ref="N17">IF(ISNUMBER(INDEX('M01-S01'!$AN$32:$AN$71,2*(ROWS($N$4:N17)-1)+1)),INDEX('M01-S01'!$AU$32:$AU$71,2*(ROWS($N$4:N17)-1)+1),0)</f>
        <v>0</v>
      </c>
      <c r="O17" s="56" cm="1">
        <f t="array" ref="O17">IF(ISNUMBER(INDEX('M01-S01'!$AN$32:$AN$71,2*(ROWS($O$4:O17)-1)+1)),INDEX('M01-S01'!$AN$32:$AN$71,2*(ROWS($O$4:O17)-1)+1)*INCENTCAPADJ,0)</f>
        <v>0</v>
      </c>
      <c r="P17" s="112" t="str">
        <f>IFERROR(IF(NOT(ISNUMBER(INDEX('M01-S01'!$AN$32:$AN$71,2*(ROWS($P$4:P17)-1)+1))),INDEX('M01-S01'!$AJ$32:$AJ$71,2*(ROWS($P$4:P17)-1)+1),0),0)</f>
        <v/>
      </c>
      <c r="Q17" s="134" t="str">
        <f>IFERROR(IF(NOT(ISNUMBER(INDEX('M01-S01'!$AN$32:$AN$71,2*(ROWS($P$4:P17)-1)+1))),INDEX('M01-S01'!$AU$32:$AU$71,2*(ROWS($P$4:P17)-1)+1),0),0)</f>
        <v/>
      </c>
      <c r="R17" t="str">
        <f>IFERROR(IF(NOT(ISNUMBER(INDEX('M01-S01'!$AN$32:$AN$71,2*(ROWS($R$4:R17)-1)+1))),"Not Eligible",""),"")</f>
        <v>Not Eligible</v>
      </c>
      <c r="S17" s="117" t="str">
        <f>INDEX('M01-S01'!$J$32:$J$71,2*(ROWS($S$4:S17)-1)+1)</f>
        <v/>
      </c>
      <c r="T17" s="117">
        <f>INDEX('M01-S01'!$X$32:$X$71,2*(ROWS($T$4:T17)-1)+1)</f>
        <v>0</v>
      </c>
      <c r="U17" s="112" cm="1">
        <f t="array" ref="U17">INDEX('M01-S01'!$B$32:$B$71,2*(ROWS($U$4:U17)-1)+1)</f>
        <v>14</v>
      </c>
      <c r="V17" s="223">
        <f>INDEX('M01-S01'!F$32:$F$71,2*(ROWS($V$4:V17)-1)+1)</f>
        <v>0</v>
      </c>
      <c r="W17" s="53">
        <f>INDEX('M01-S01'!N$32:$N$71,2*(ROWS($W$4:W17)-1)+1)</f>
        <v>0</v>
      </c>
      <c r="X17" s="98"/>
      <c r="Y17">
        <f>INDEX('M01-S01'!R$32:$R$71,2*(ROWS($W$4:W17)-1)+1)</f>
        <v>0</v>
      </c>
      <c r="Z17" cm="1">
        <f t="array" ref="Z17">IFERROR(INDEX('M01-S01'!$AD$32:$AD$71,2*(ROWS($Z$4:Z17)-1)+1)/INDEX('M01-S01'!$AB$32:$AB$71,2*(ROWS(Z$4:$Z17)-1)+1),0)</f>
        <v>0</v>
      </c>
      <c r="AA17" t="str" cm="1">
        <f t="array" ref="AA17">IF(ISNUMBER(SEARCH("Linear",INDEX('M01-S01'!$C$32:$C$71,2*(ROWS($AA$4:AA17)-1)+1))),INDEX(CMLIGHTBASE[Measure Subgroup 1],MATCH(INDEX('M01-S01'!$F$32:$F$71,2*(ROWS($AA$4:AA17)-1)+1),CMLIGHTBASE[Base Desc 1],0)),"")</f>
        <v/>
      </c>
      <c r="AB17" t="str" cm="1">
        <f t="array" ref="AB17">IF(ISNUMBER(SEARCH("Linear",INDEX('M01-S01'!$C$32:$C$71,2*(ROWS($AB$4:AB17)-1)+1))),INDEX(CMLIGHTBASE[Measure Subgroup 2],MATCH(INDEX('M01-S01'!$F$32:$F$71,2*(ROWS($AB$4:AB17)-1)+1),CMLIGHTBASE[Base Desc 1],0)),"")</f>
        <v/>
      </c>
      <c r="AC17" s="98"/>
      <c r="AD17" s="53" t="str">
        <f>IF(ISNUMBER(INDEX('M01-S01'!$V$32:$V$71,2*(ROWS($AD$4:AD17)-1)+1)),INDEX('M01-S01'!$V$32:$V$71,2*(ROWS($AD$4:AD17)-1)+1)&amp;" Lamp","")</f>
        <v/>
      </c>
      <c r="AE17" s="112">
        <f>IFERROR(IF(NOT(ISNUMBER(INDEX('M01-S01'!$AN$32:$AN$71,2*(ROWS($AE$4:AE17)-1)+1))),INDEX('M01-S01'!$Z$32:$Z$71,2*(ROWS($AE$4:AE17)-1)+1),0),0)</f>
        <v>0</v>
      </c>
      <c r="AF17" s="112" t="str">
        <f>INDEX('M01-S01'!$AV$32:$AV$71,2*(ROWS($AF$4:AF17)-1)+1)</f>
        <v/>
      </c>
      <c r="AG17" s="112" t="str">
        <f>INDEX('M01-S01'!$AW$32:$AW$71,2*(ROWS($AF$4:AF17)-1)+1)</f>
        <v/>
      </c>
      <c r="AH17" s="112" t="str">
        <f t="shared" si="5"/>
        <v/>
      </c>
      <c r="AI17" s="112" t="str">
        <f t="shared" si="6"/>
        <v/>
      </c>
      <c r="AJ17" s="56" t="str">
        <f t="shared" si="7"/>
        <v/>
      </c>
      <c r="AK17" s="56" t="str">
        <f t="shared" si="8"/>
        <v/>
      </c>
      <c r="AL17" s="56" t="str">
        <f t="shared" si="9"/>
        <v/>
      </c>
      <c r="AM17" s="115"/>
      <c r="AN17" s="56" t="str">
        <f t="shared" si="10"/>
        <v/>
      </c>
      <c r="AO17" s="112" cm="1">
        <f t="array" ref="AO17">INDEX('M01-S01'!$L$32:$L$71,2*(ROWS($AO$4:AO17)-1)+1)</f>
        <v>0</v>
      </c>
      <c r="AP17" s="112" cm="1">
        <f t="array" ref="AP17">INDEX('M01-S01'!$AD$32:$AD$71,2*(ROWS($AP$4:AP17)-1)+1)</f>
        <v>0</v>
      </c>
      <c r="AQ17" s="56" t="str">
        <f>IF(INDEX('M01-S01'!$AJ$32:$AJ$71,2*(ROWS($AQ$4:AQ17)-1)+1)="","",IF(AND(INDEX('M01-S01'!$AJ$32:$AJ$71,2*(ROWS($AQ$4:AQ17)-1)+1)&lt;&gt;"",OR(ISNUMBER(SEARCH("AC With",M02S02F32)),M02S02F32="Heat Pump")),LIGHTHEATCOIN,1))</f>
        <v/>
      </c>
      <c r="AR17" s="404" cm="1">
        <f t="array" ref="AR17">ROUND((IF(INDEX('M01-S01'!$AN$32:$AN$71,2*(ROWS($O$4:O17)-1)+1)=INDEX('M01-S01'!$BH$32:$BH$71,2*(ROWS($O$4:O17)-1)+1),0,(INDEX('M01-S01'!$BG$32:$BG$71,2*(ROWS($O$4:O17)-1)+1)-INDEX('M01-S01'!$BH$32:$BH$71,2*(ROWS($O$4:O17)-1)+1))))*INCENTCAPADJ,2)</f>
        <v>0</v>
      </c>
    </row>
    <row r="18" spans="1:44" x14ac:dyDescent="0.25">
      <c r="A18">
        <f t="shared" si="1"/>
        <v>0</v>
      </c>
      <c r="B18" t="str">
        <f t="shared" si="3"/>
        <v/>
      </c>
      <c r="C18" t="str" cm="1">
        <f t="array" ref="C18">IFERROR(IF(J18&gt;0,INDEX('M01-S01'!$BA$32:$BA$71,2*(ROWS($C$4:C18)-1)+1),""),"")</f>
        <v/>
      </c>
      <c r="D18" t="s">
        <v>939</v>
      </c>
      <c r="E18" t="str">
        <f t="shared" si="4"/>
        <v/>
      </c>
      <c r="F18" s="112" t="str" cm="1">
        <f t="array" ref="F18">INDEX('M01-S01'!AB$32:$AB$71,2*(ROWS($F$4:F18)-1)+1)</f>
        <v/>
      </c>
      <c r="G18" s="113"/>
      <c r="H18" s="56" cm="1">
        <f t="array" ref="H18">ROUND(INDEX('M01-S01'!$AF$32:$AF$71,2*(ROWS($H$4:H18)-1)+1)*INDEX('M01-S01'!$Z$32:$Z$71,2*(ROWS($H$4:H18)-1)+1),2)</f>
        <v>0</v>
      </c>
      <c r="I18" s="56" cm="1">
        <f t="array" ref="I18">ROUND(INDEX('M01-S01'!$AH$32:$AH$71,2*(ROWS($I$4:I18)-1)+1)*INDEX('M01-S01'!$Z$32:$Z$71,2*(ROWS($I$4:I18)-1)+1),2)</f>
        <v>0</v>
      </c>
      <c r="J18" s="56" cm="1">
        <f t="array" ref="J18">IFERROR(ROUND(INDEX('M01-S01'!$AT$32:$AT$71,2*(ROWS($J$4:J18)-1)+1),2),0)</f>
        <v>0</v>
      </c>
      <c r="K18" t="s">
        <v>86</v>
      </c>
      <c r="L18" s="117">
        <f>IF(ISNUMBER(INDEX('M01-S01'!$AN$32:$AN$71,2*(ROWS($L$4:L18)-1)+1)),INDEX('M01-S01'!$Z$32:$Z$71,2*(ROWS($L$4:L18)-1)+1),0)</f>
        <v>0</v>
      </c>
      <c r="M18" s="112" cm="1">
        <f t="array" ref="M18">IF(ISNUMBER(INDEX('M01-S01'!$AN$32:$AN$71,2*(ROWS($M$4:M18)-1)+1)),INDEX('M01-S01'!$AJ$32:$AJ$71,2*(ROWS($M$4:M18)-1)+1),0)</f>
        <v>0</v>
      </c>
      <c r="N18" s="134" cm="1">
        <f t="array" ref="N18">IF(ISNUMBER(INDEX('M01-S01'!$AN$32:$AN$71,2*(ROWS($N$4:N18)-1)+1)),INDEX('M01-S01'!$AU$32:$AU$71,2*(ROWS($N$4:N18)-1)+1),0)</f>
        <v>0</v>
      </c>
      <c r="O18" s="56" cm="1">
        <f t="array" ref="O18">IF(ISNUMBER(INDEX('M01-S01'!$AN$32:$AN$71,2*(ROWS($O$4:O18)-1)+1)),INDEX('M01-S01'!$AN$32:$AN$71,2*(ROWS($O$4:O18)-1)+1)*INCENTCAPADJ,0)</f>
        <v>0</v>
      </c>
      <c r="P18" s="112" t="str">
        <f>IFERROR(IF(NOT(ISNUMBER(INDEX('M01-S01'!$AN$32:$AN$71,2*(ROWS($P$4:P18)-1)+1))),INDEX('M01-S01'!$AJ$32:$AJ$71,2*(ROWS($P$4:P18)-1)+1),0),0)</f>
        <v/>
      </c>
      <c r="Q18" s="134" t="str">
        <f>IFERROR(IF(NOT(ISNUMBER(INDEX('M01-S01'!$AN$32:$AN$71,2*(ROWS($P$4:P18)-1)+1))),INDEX('M01-S01'!$AU$32:$AU$71,2*(ROWS($P$4:P18)-1)+1),0),0)</f>
        <v/>
      </c>
      <c r="R18" t="str">
        <f>IFERROR(IF(NOT(ISNUMBER(INDEX('M01-S01'!$AN$32:$AN$71,2*(ROWS($R$4:R18)-1)+1))),"Not Eligible",""),"")</f>
        <v>Not Eligible</v>
      </c>
      <c r="S18" s="117" t="str">
        <f>INDEX('M01-S01'!$J$32:$J$71,2*(ROWS($S$4:S18)-1)+1)</f>
        <v/>
      </c>
      <c r="T18" s="117">
        <f>INDEX('M01-S01'!$X$32:$X$71,2*(ROWS($T$4:T18)-1)+1)</f>
        <v>0</v>
      </c>
      <c r="U18" s="112" cm="1">
        <f t="array" ref="U18">INDEX('M01-S01'!$B$32:$B$71,2*(ROWS($U$4:U18)-1)+1)</f>
        <v>15</v>
      </c>
      <c r="V18" s="223">
        <f>INDEX('M01-S01'!F$32:$F$71,2*(ROWS($V$4:V18)-1)+1)</f>
        <v>0</v>
      </c>
      <c r="W18" s="53">
        <f>INDEX('M01-S01'!N$32:$N$71,2*(ROWS($W$4:W18)-1)+1)</f>
        <v>0</v>
      </c>
      <c r="X18" s="98"/>
      <c r="Y18">
        <f>INDEX('M01-S01'!R$32:$R$71,2*(ROWS($W$4:W18)-1)+1)</f>
        <v>0</v>
      </c>
      <c r="Z18" cm="1">
        <f t="array" ref="Z18">IFERROR(INDEX('M01-S01'!$AD$32:$AD$71,2*(ROWS($Z$4:Z18)-1)+1)/INDEX('M01-S01'!$AB$32:$AB$71,2*(ROWS(Z$4:$Z18)-1)+1),0)</f>
        <v>0</v>
      </c>
      <c r="AA18" t="str" cm="1">
        <f t="array" ref="AA18">IF(ISNUMBER(SEARCH("Linear",INDEX('M01-S01'!$C$32:$C$71,2*(ROWS($AA$4:AA18)-1)+1))),INDEX(CMLIGHTBASE[Measure Subgroup 1],MATCH(INDEX('M01-S01'!$F$32:$F$71,2*(ROWS($AA$4:AA18)-1)+1),CMLIGHTBASE[Base Desc 1],0)),"")</f>
        <v/>
      </c>
      <c r="AB18" t="str" cm="1">
        <f t="array" ref="AB18">IF(ISNUMBER(SEARCH("Linear",INDEX('M01-S01'!$C$32:$C$71,2*(ROWS($AB$4:AB18)-1)+1))),INDEX(CMLIGHTBASE[Measure Subgroup 2],MATCH(INDEX('M01-S01'!$F$32:$F$71,2*(ROWS($AB$4:AB18)-1)+1),CMLIGHTBASE[Base Desc 1],0)),"")</f>
        <v/>
      </c>
      <c r="AC18" s="98"/>
      <c r="AD18" s="53" t="str">
        <f>IF(ISNUMBER(INDEX('M01-S01'!$V$32:$V$71,2*(ROWS($AD$4:AD18)-1)+1)),INDEX('M01-S01'!$V$32:$V$71,2*(ROWS($AD$4:AD18)-1)+1)&amp;" Lamp","")</f>
        <v/>
      </c>
      <c r="AE18" s="112">
        <f>IFERROR(IF(NOT(ISNUMBER(INDEX('M01-S01'!$AN$32:$AN$71,2*(ROWS($AE$4:AE18)-1)+1))),INDEX('M01-S01'!$Z$32:$Z$71,2*(ROWS($AE$4:AE18)-1)+1),0),0)</f>
        <v>0</v>
      </c>
      <c r="AF18" s="112" t="str">
        <f>INDEX('M01-S01'!$AV$32:$AV$71,2*(ROWS($AF$4:AF18)-1)+1)</f>
        <v/>
      </c>
      <c r="AG18" s="112" t="str">
        <f>INDEX('M01-S01'!$AW$32:$AW$71,2*(ROWS($AF$4:AF18)-1)+1)</f>
        <v/>
      </c>
      <c r="AH18" s="112" t="str">
        <f t="shared" si="5"/>
        <v/>
      </c>
      <c r="AI18" s="112" t="str">
        <f t="shared" si="6"/>
        <v/>
      </c>
      <c r="AJ18" s="56" t="str">
        <f t="shared" si="7"/>
        <v/>
      </c>
      <c r="AK18" s="56" t="str">
        <f t="shared" si="8"/>
        <v/>
      </c>
      <c r="AL18" s="56" t="str">
        <f t="shared" si="9"/>
        <v/>
      </c>
      <c r="AM18" s="115"/>
      <c r="AN18" s="56" t="str">
        <f t="shared" si="10"/>
        <v/>
      </c>
      <c r="AO18" s="112" cm="1">
        <f t="array" ref="AO18">INDEX('M01-S01'!$L$32:$L$71,2*(ROWS($AO$4:AO18)-1)+1)</f>
        <v>0</v>
      </c>
      <c r="AP18" s="112" cm="1">
        <f t="array" ref="AP18">INDEX('M01-S01'!$AD$32:$AD$71,2*(ROWS($AP$4:AP18)-1)+1)</f>
        <v>0</v>
      </c>
      <c r="AQ18" s="56" t="str">
        <f>IF(INDEX('M01-S01'!$AJ$32:$AJ$71,2*(ROWS($AQ$4:AQ18)-1)+1)="","",IF(AND(INDEX('M01-S01'!$AJ$32:$AJ$71,2*(ROWS($AQ$4:AQ18)-1)+1)&lt;&gt;"",OR(ISNUMBER(SEARCH("AC With",M02S02F32)),M02S02F32="Heat Pump")),LIGHTHEATCOIN,1))</f>
        <v/>
      </c>
      <c r="AR18" s="404" cm="1">
        <f t="array" ref="AR18">ROUND((IF(INDEX('M01-S01'!$AN$32:$AN$71,2*(ROWS($O$4:O18)-1)+1)=INDEX('M01-S01'!$BH$32:$BH$71,2*(ROWS($O$4:O18)-1)+1),0,(INDEX('M01-S01'!$BG$32:$BG$71,2*(ROWS($O$4:O18)-1)+1)-INDEX('M01-S01'!$BH$32:$BH$71,2*(ROWS($O$4:O18)-1)+1))))*INCENTCAPADJ,2)</f>
        <v>0</v>
      </c>
    </row>
    <row r="19" spans="1:44" x14ac:dyDescent="0.25">
      <c r="A19">
        <f t="shared" si="1"/>
        <v>0</v>
      </c>
      <c r="B19" t="str">
        <f t="shared" si="3"/>
        <v/>
      </c>
      <c r="C19" t="str" cm="1">
        <f t="array" ref="C19">IFERROR(IF(J19&gt;0,INDEX('M01-S01'!$BA$32:$BA$71,2*(ROWS($C$4:C19)-1)+1),""),"")</f>
        <v/>
      </c>
      <c r="D19" t="s">
        <v>939</v>
      </c>
      <c r="E19" t="str">
        <f t="shared" si="4"/>
        <v/>
      </c>
      <c r="F19" s="112" t="str" cm="1">
        <f t="array" ref="F19">INDEX('M01-S01'!AB$32:$AB$71,2*(ROWS($F$4:F19)-1)+1)</f>
        <v/>
      </c>
      <c r="G19" s="113"/>
      <c r="H19" s="56" cm="1">
        <f t="array" ref="H19">ROUND(INDEX('M01-S01'!$AF$32:$AF$71,2*(ROWS($H$4:H19)-1)+1)*INDEX('M01-S01'!$Z$32:$Z$71,2*(ROWS($H$4:H19)-1)+1),2)</f>
        <v>0</v>
      </c>
      <c r="I19" s="56" cm="1">
        <f t="array" ref="I19">ROUND(INDEX('M01-S01'!$AH$32:$AH$71,2*(ROWS($I$4:I19)-1)+1)*INDEX('M01-S01'!$Z$32:$Z$71,2*(ROWS($I$4:I19)-1)+1),2)</f>
        <v>0</v>
      </c>
      <c r="J19" s="56" cm="1">
        <f t="array" ref="J19">IFERROR(ROUND(INDEX('M01-S01'!$AT$32:$AT$71,2*(ROWS($J$4:J19)-1)+1),2),0)</f>
        <v>0</v>
      </c>
      <c r="K19" t="s">
        <v>86</v>
      </c>
      <c r="L19" s="117">
        <f>IF(ISNUMBER(INDEX('M01-S01'!$AN$32:$AN$71,2*(ROWS($L$4:L19)-1)+1)),INDEX('M01-S01'!$Z$32:$Z$71,2*(ROWS($L$4:L19)-1)+1),0)</f>
        <v>0</v>
      </c>
      <c r="M19" s="112" cm="1">
        <f t="array" ref="M19">IF(ISNUMBER(INDEX('M01-S01'!$AN$32:$AN$71,2*(ROWS($M$4:M19)-1)+1)),INDEX('M01-S01'!$AJ$32:$AJ$71,2*(ROWS($M$4:M19)-1)+1),0)</f>
        <v>0</v>
      </c>
      <c r="N19" s="134" cm="1">
        <f t="array" ref="N19">IF(ISNUMBER(INDEX('M01-S01'!$AN$32:$AN$71,2*(ROWS($N$4:N19)-1)+1)),INDEX('M01-S01'!$AU$32:$AU$71,2*(ROWS($N$4:N19)-1)+1),0)</f>
        <v>0</v>
      </c>
      <c r="O19" s="56" cm="1">
        <f t="array" ref="O19">IF(ISNUMBER(INDEX('M01-S01'!$AN$32:$AN$71,2*(ROWS($O$4:O19)-1)+1)),INDEX('M01-S01'!$AN$32:$AN$71,2*(ROWS($O$4:O19)-1)+1)*INCENTCAPADJ,0)</f>
        <v>0</v>
      </c>
      <c r="P19" s="112" t="str">
        <f>IFERROR(IF(NOT(ISNUMBER(INDEX('M01-S01'!$AN$32:$AN$71,2*(ROWS($P$4:P19)-1)+1))),INDEX('M01-S01'!$AJ$32:$AJ$71,2*(ROWS($P$4:P19)-1)+1),0),0)</f>
        <v/>
      </c>
      <c r="Q19" s="134" t="str">
        <f>IFERROR(IF(NOT(ISNUMBER(INDEX('M01-S01'!$AN$32:$AN$71,2*(ROWS($P$4:P19)-1)+1))),INDEX('M01-S01'!$AU$32:$AU$71,2*(ROWS($P$4:P19)-1)+1),0),0)</f>
        <v/>
      </c>
      <c r="R19" t="str">
        <f>IFERROR(IF(NOT(ISNUMBER(INDEX('M01-S01'!$AN$32:$AN$71,2*(ROWS($R$4:R19)-1)+1))),"Not Eligible",""),"")</f>
        <v>Not Eligible</v>
      </c>
      <c r="S19" s="117" t="str">
        <f>INDEX('M01-S01'!$J$32:$J$71,2*(ROWS($S$4:S19)-1)+1)</f>
        <v/>
      </c>
      <c r="T19" s="117">
        <f>INDEX('M01-S01'!$X$32:$X$71,2*(ROWS($T$4:T19)-1)+1)</f>
        <v>0</v>
      </c>
      <c r="U19" s="112" cm="1">
        <f t="array" ref="U19">INDEX('M01-S01'!$B$32:$B$71,2*(ROWS($U$4:U19)-1)+1)</f>
        <v>16</v>
      </c>
      <c r="V19" s="223">
        <f>INDEX('M01-S01'!F$32:$F$71,2*(ROWS($V$4:V19)-1)+1)</f>
        <v>0</v>
      </c>
      <c r="W19" s="53">
        <f>INDEX('M01-S01'!N$32:$N$71,2*(ROWS($W$4:W19)-1)+1)</f>
        <v>0</v>
      </c>
      <c r="X19" s="98"/>
      <c r="Y19">
        <f>INDEX('M01-S01'!R$32:$R$71,2*(ROWS($W$4:W19)-1)+1)</f>
        <v>0</v>
      </c>
      <c r="Z19" cm="1">
        <f t="array" ref="Z19">IFERROR(INDEX('M01-S01'!$AD$32:$AD$71,2*(ROWS($Z$4:Z19)-1)+1)/INDEX('M01-S01'!$AB$32:$AB$71,2*(ROWS(Z$4:$Z19)-1)+1),0)</f>
        <v>0</v>
      </c>
      <c r="AA19" t="str" cm="1">
        <f t="array" ref="AA19">IF(ISNUMBER(SEARCH("Linear",INDEX('M01-S01'!$C$32:$C$71,2*(ROWS($AA$4:AA19)-1)+1))),INDEX(CMLIGHTBASE[Measure Subgroup 1],MATCH(INDEX('M01-S01'!$F$32:$F$71,2*(ROWS($AA$4:AA19)-1)+1),CMLIGHTBASE[Base Desc 1],0)),"")</f>
        <v/>
      </c>
      <c r="AB19" t="str" cm="1">
        <f t="array" ref="AB19">IF(ISNUMBER(SEARCH("Linear",INDEX('M01-S01'!$C$32:$C$71,2*(ROWS($AB$4:AB19)-1)+1))),INDEX(CMLIGHTBASE[Measure Subgroup 2],MATCH(INDEX('M01-S01'!$F$32:$F$71,2*(ROWS($AB$4:AB19)-1)+1),CMLIGHTBASE[Base Desc 1],0)),"")</f>
        <v/>
      </c>
      <c r="AC19" s="98"/>
      <c r="AD19" s="53" t="str">
        <f>IF(ISNUMBER(INDEX('M01-S01'!$V$32:$V$71,2*(ROWS($AD$4:AD19)-1)+1)),INDEX('M01-S01'!$V$32:$V$71,2*(ROWS($AD$4:AD19)-1)+1)&amp;" Lamp","")</f>
        <v/>
      </c>
      <c r="AE19" s="112">
        <f>IFERROR(IF(NOT(ISNUMBER(INDEX('M01-S01'!$AN$32:$AN$71,2*(ROWS($AE$4:AE19)-1)+1))),INDEX('M01-S01'!$Z$32:$Z$71,2*(ROWS($AE$4:AE19)-1)+1),0),0)</f>
        <v>0</v>
      </c>
      <c r="AF19" s="112" t="str">
        <f>INDEX('M01-S01'!$AV$32:$AV$71,2*(ROWS($AF$4:AF19)-1)+1)</f>
        <v/>
      </c>
      <c r="AG19" s="112" t="str">
        <f>INDEX('M01-S01'!$AW$32:$AW$71,2*(ROWS($AF$4:AF19)-1)+1)</f>
        <v/>
      </c>
      <c r="AH19" s="112" t="str">
        <f t="shared" si="5"/>
        <v/>
      </c>
      <c r="AI19" s="112" t="str">
        <f t="shared" si="6"/>
        <v/>
      </c>
      <c r="AJ19" s="56" t="str">
        <f t="shared" si="7"/>
        <v/>
      </c>
      <c r="AK19" s="56" t="str">
        <f t="shared" si="8"/>
        <v/>
      </c>
      <c r="AL19" s="56" t="str">
        <f t="shared" si="9"/>
        <v/>
      </c>
      <c r="AM19" s="115"/>
      <c r="AN19" s="56" t="str">
        <f t="shared" si="10"/>
        <v/>
      </c>
      <c r="AO19" s="112" cm="1">
        <f t="array" ref="AO19">INDEX('M01-S01'!$L$32:$L$71,2*(ROWS($AO$4:AO19)-1)+1)</f>
        <v>0</v>
      </c>
      <c r="AP19" s="112" cm="1">
        <f t="array" ref="AP19">INDEX('M01-S01'!$AD$32:$AD$71,2*(ROWS($AP$4:AP19)-1)+1)</f>
        <v>0</v>
      </c>
      <c r="AQ19" s="56" t="str">
        <f>IF(INDEX('M01-S01'!$AJ$32:$AJ$71,2*(ROWS($AQ$4:AQ19)-1)+1)="","",IF(AND(INDEX('M01-S01'!$AJ$32:$AJ$71,2*(ROWS($AQ$4:AQ19)-1)+1)&lt;&gt;"",OR(ISNUMBER(SEARCH("AC With",M02S02F32)),M02S02F32="Heat Pump")),LIGHTHEATCOIN,1))</f>
        <v/>
      </c>
      <c r="AR19" s="404" cm="1">
        <f t="array" ref="AR19">ROUND((IF(INDEX('M01-S01'!$AN$32:$AN$71,2*(ROWS($O$4:O19)-1)+1)=INDEX('M01-S01'!$BH$32:$BH$71,2*(ROWS($O$4:O19)-1)+1),0,(INDEX('M01-S01'!$BG$32:$BG$71,2*(ROWS($O$4:O19)-1)+1)-INDEX('M01-S01'!$BH$32:$BH$71,2*(ROWS($O$4:O19)-1)+1))))*INCENTCAPADJ,2)</f>
        <v>0</v>
      </c>
    </row>
    <row r="20" spans="1:44" x14ac:dyDescent="0.25">
      <c r="A20">
        <f t="shared" si="1"/>
        <v>0</v>
      </c>
      <c r="B20" t="str">
        <f t="shared" si="3"/>
        <v/>
      </c>
      <c r="C20" t="str" cm="1">
        <f t="array" ref="C20">IFERROR(IF(J20&gt;0,INDEX('M01-S01'!$BA$32:$BA$71,2*(ROWS($C$4:C20)-1)+1),""),"")</f>
        <v/>
      </c>
      <c r="D20" t="s">
        <v>939</v>
      </c>
      <c r="E20" t="str">
        <f t="shared" si="4"/>
        <v/>
      </c>
      <c r="F20" s="112" t="str" cm="1">
        <f t="array" ref="F20">INDEX('M01-S01'!AB$32:$AB$71,2*(ROWS($F$4:F20)-1)+1)</f>
        <v/>
      </c>
      <c r="G20" s="113"/>
      <c r="H20" s="56" cm="1">
        <f t="array" ref="H20">ROUND(INDEX('M01-S01'!$AF$32:$AF$71,2*(ROWS($H$4:H20)-1)+1)*INDEX('M01-S01'!$Z$32:$Z$71,2*(ROWS($H$4:H20)-1)+1),2)</f>
        <v>0</v>
      </c>
      <c r="I20" s="56" cm="1">
        <f t="array" ref="I20">ROUND(INDEX('M01-S01'!$AH$32:$AH$71,2*(ROWS($I$4:I20)-1)+1)*INDEX('M01-S01'!$Z$32:$Z$71,2*(ROWS($I$4:I20)-1)+1),2)</f>
        <v>0</v>
      </c>
      <c r="J20" s="56" cm="1">
        <f t="array" ref="J20">IFERROR(ROUND(INDEX('M01-S01'!$AT$32:$AT$71,2*(ROWS($J$4:J20)-1)+1),2),0)</f>
        <v>0</v>
      </c>
      <c r="K20" t="s">
        <v>86</v>
      </c>
      <c r="L20" s="117">
        <f>IF(ISNUMBER(INDEX('M01-S01'!$AN$32:$AN$71,2*(ROWS($L$4:L20)-1)+1)),INDEX('M01-S01'!$Z$32:$Z$71,2*(ROWS($L$4:L20)-1)+1),0)</f>
        <v>0</v>
      </c>
      <c r="M20" s="112" cm="1">
        <f t="array" ref="M20">IF(ISNUMBER(INDEX('M01-S01'!$AN$32:$AN$71,2*(ROWS($M$4:M20)-1)+1)),INDEX('M01-S01'!$AJ$32:$AJ$71,2*(ROWS($M$4:M20)-1)+1),0)</f>
        <v>0</v>
      </c>
      <c r="N20" s="134" cm="1">
        <f t="array" ref="N20">IF(ISNUMBER(INDEX('M01-S01'!$AN$32:$AN$71,2*(ROWS($N$4:N20)-1)+1)),INDEX('M01-S01'!$AU$32:$AU$71,2*(ROWS($N$4:N20)-1)+1),0)</f>
        <v>0</v>
      </c>
      <c r="O20" s="56" cm="1">
        <f t="array" ref="O20">IF(ISNUMBER(INDEX('M01-S01'!$AN$32:$AN$71,2*(ROWS($O$4:O20)-1)+1)),INDEX('M01-S01'!$AN$32:$AN$71,2*(ROWS($O$4:O20)-1)+1)*INCENTCAPADJ,0)</f>
        <v>0</v>
      </c>
      <c r="P20" s="112" t="str">
        <f>IFERROR(IF(NOT(ISNUMBER(INDEX('M01-S01'!$AN$32:$AN$71,2*(ROWS($P$4:P20)-1)+1))),INDEX('M01-S01'!$AJ$32:$AJ$71,2*(ROWS($P$4:P20)-1)+1),0),0)</f>
        <v/>
      </c>
      <c r="Q20" s="134" t="str">
        <f>IFERROR(IF(NOT(ISNUMBER(INDEX('M01-S01'!$AN$32:$AN$71,2*(ROWS($P$4:P20)-1)+1))),INDEX('M01-S01'!$AU$32:$AU$71,2*(ROWS($P$4:P20)-1)+1),0),0)</f>
        <v/>
      </c>
      <c r="R20" t="str">
        <f>IFERROR(IF(NOT(ISNUMBER(INDEX('M01-S01'!$AN$32:$AN$71,2*(ROWS($R$4:R20)-1)+1))),"Not Eligible",""),"")</f>
        <v>Not Eligible</v>
      </c>
      <c r="S20" s="117" t="str">
        <f>INDEX('M01-S01'!$J$32:$J$71,2*(ROWS($S$4:S20)-1)+1)</f>
        <v/>
      </c>
      <c r="T20" s="117">
        <f>INDEX('M01-S01'!$X$32:$X$71,2*(ROWS($T$4:T20)-1)+1)</f>
        <v>0</v>
      </c>
      <c r="U20" s="112" cm="1">
        <f t="array" ref="U20">INDEX('M01-S01'!$B$32:$B$71,2*(ROWS($U$4:U20)-1)+1)</f>
        <v>17</v>
      </c>
      <c r="V20" s="223">
        <f>INDEX('M01-S01'!F$32:$F$71,2*(ROWS($V$4:V20)-1)+1)</f>
        <v>0</v>
      </c>
      <c r="W20" s="53">
        <f>INDEX('M01-S01'!N$32:$N$71,2*(ROWS($W$4:W20)-1)+1)</f>
        <v>0</v>
      </c>
      <c r="X20" s="98"/>
      <c r="Y20">
        <f>INDEX('M01-S01'!R$32:$R$71,2*(ROWS($W$4:W20)-1)+1)</f>
        <v>0</v>
      </c>
      <c r="Z20" cm="1">
        <f t="array" ref="Z20">IFERROR(INDEX('M01-S01'!$AD$32:$AD$71,2*(ROWS($Z$4:Z20)-1)+1)/INDEX('M01-S01'!$AB$32:$AB$71,2*(ROWS(Z$4:$Z20)-1)+1),0)</f>
        <v>0</v>
      </c>
      <c r="AA20" t="str" cm="1">
        <f t="array" ref="AA20">IF(ISNUMBER(SEARCH("Linear",INDEX('M01-S01'!$C$32:$C$71,2*(ROWS($AA$4:AA20)-1)+1))),INDEX(CMLIGHTBASE[Measure Subgroup 1],MATCH(INDEX('M01-S01'!$F$32:$F$71,2*(ROWS($AA$4:AA20)-1)+1),CMLIGHTBASE[Base Desc 1],0)),"")</f>
        <v/>
      </c>
      <c r="AB20" t="str" cm="1">
        <f t="array" ref="AB20">IF(ISNUMBER(SEARCH("Linear",INDEX('M01-S01'!$C$32:$C$71,2*(ROWS($AB$4:AB20)-1)+1))),INDEX(CMLIGHTBASE[Measure Subgroup 2],MATCH(INDEX('M01-S01'!$F$32:$F$71,2*(ROWS($AB$4:AB20)-1)+1),CMLIGHTBASE[Base Desc 1],0)),"")</f>
        <v/>
      </c>
      <c r="AC20" s="98"/>
      <c r="AD20" s="53" t="str">
        <f>IF(ISNUMBER(INDEX('M01-S01'!$V$32:$V$71,2*(ROWS($AD$4:AD20)-1)+1)),INDEX('M01-S01'!$V$32:$V$71,2*(ROWS($AD$4:AD20)-1)+1)&amp;" Lamp","")</f>
        <v/>
      </c>
      <c r="AE20" s="112">
        <f>IFERROR(IF(NOT(ISNUMBER(INDEX('M01-S01'!$AN$32:$AN$71,2*(ROWS($AE$4:AE20)-1)+1))),INDEX('M01-S01'!$Z$32:$Z$71,2*(ROWS($AE$4:AE20)-1)+1),0),0)</f>
        <v>0</v>
      </c>
      <c r="AF20" s="112" t="str">
        <f>INDEX('M01-S01'!$AV$32:$AV$71,2*(ROWS($AF$4:AF20)-1)+1)</f>
        <v/>
      </c>
      <c r="AG20" s="112" t="str">
        <f>INDEX('M01-S01'!$AW$32:$AW$71,2*(ROWS($AF$4:AF20)-1)+1)</f>
        <v/>
      </c>
      <c r="AH20" s="112" t="str">
        <f t="shared" si="5"/>
        <v/>
      </c>
      <c r="AI20" s="112" t="str">
        <f t="shared" si="6"/>
        <v/>
      </c>
      <c r="AJ20" s="56" t="str">
        <f t="shared" si="7"/>
        <v/>
      </c>
      <c r="AK20" s="56" t="str">
        <f t="shared" si="8"/>
        <v/>
      </c>
      <c r="AL20" s="56" t="str">
        <f t="shared" si="9"/>
        <v/>
      </c>
      <c r="AM20" s="115"/>
      <c r="AN20" s="56" t="str">
        <f t="shared" si="10"/>
        <v/>
      </c>
      <c r="AO20" s="112" cm="1">
        <f t="array" ref="AO20">INDEX('M01-S01'!$L$32:$L$71,2*(ROWS($AO$4:AO20)-1)+1)</f>
        <v>0</v>
      </c>
      <c r="AP20" s="112" cm="1">
        <f t="array" ref="AP20">INDEX('M01-S01'!$AD$32:$AD$71,2*(ROWS($AP$4:AP20)-1)+1)</f>
        <v>0</v>
      </c>
      <c r="AQ20" s="56" t="str">
        <f>IF(INDEX('M01-S01'!$AJ$32:$AJ$71,2*(ROWS($AQ$4:AQ20)-1)+1)="","",IF(AND(INDEX('M01-S01'!$AJ$32:$AJ$71,2*(ROWS($AQ$4:AQ20)-1)+1)&lt;&gt;"",OR(ISNUMBER(SEARCH("AC With",M02S02F32)),M02S02F32="Heat Pump")),LIGHTHEATCOIN,1))</f>
        <v/>
      </c>
      <c r="AR20" s="404" cm="1">
        <f t="array" ref="AR20">ROUND((IF(INDEX('M01-S01'!$AN$32:$AN$71,2*(ROWS($O$4:O20)-1)+1)=INDEX('M01-S01'!$BH$32:$BH$71,2*(ROWS($O$4:O20)-1)+1),0,(INDEX('M01-S01'!$BG$32:$BG$71,2*(ROWS($O$4:O20)-1)+1)-INDEX('M01-S01'!$BH$32:$BH$71,2*(ROWS($O$4:O20)-1)+1))))*INCENTCAPADJ,2)</f>
        <v>0</v>
      </c>
    </row>
    <row r="21" spans="1:44" x14ac:dyDescent="0.25">
      <c r="A21">
        <f t="shared" si="1"/>
        <v>0</v>
      </c>
      <c r="B21" t="str">
        <f t="shared" si="3"/>
        <v/>
      </c>
      <c r="C21" t="str" cm="1">
        <f t="array" ref="C21">IFERROR(IF(J21&gt;0,INDEX('M01-S01'!$BA$32:$BA$71,2*(ROWS($C$4:C21)-1)+1),""),"")</f>
        <v/>
      </c>
      <c r="D21" t="s">
        <v>939</v>
      </c>
      <c r="E21" t="str">
        <f t="shared" si="4"/>
        <v/>
      </c>
      <c r="F21" s="112" t="str" cm="1">
        <f t="array" ref="F21">INDEX('M01-S01'!AB$32:$AB$71,2*(ROWS($F$4:F21)-1)+1)</f>
        <v/>
      </c>
      <c r="G21" s="113"/>
      <c r="H21" s="56" cm="1">
        <f t="array" ref="H21">ROUND(INDEX('M01-S01'!$AF$32:$AF$71,2*(ROWS($H$4:H21)-1)+1)*INDEX('M01-S01'!$Z$32:$Z$71,2*(ROWS($H$4:H21)-1)+1),2)</f>
        <v>0</v>
      </c>
      <c r="I21" s="56" cm="1">
        <f t="array" ref="I21">ROUND(INDEX('M01-S01'!$AH$32:$AH$71,2*(ROWS($I$4:I21)-1)+1)*INDEX('M01-S01'!$Z$32:$Z$71,2*(ROWS($I$4:I21)-1)+1),2)</f>
        <v>0</v>
      </c>
      <c r="J21" s="56" cm="1">
        <f t="array" ref="J21">IFERROR(ROUND(INDEX('M01-S01'!$AT$32:$AT$71,2*(ROWS($J$4:J21)-1)+1),2),0)</f>
        <v>0</v>
      </c>
      <c r="K21" t="s">
        <v>86</v>
      </c>
      <c r="L21" s="117">
        <f>IF(ISNUMBER(INDEX('M01-S01'!$AN$32:$AN$71,2*(ROWS($L$4:L21)-1)+1)),INDEX('M01-S01'!$Z$32:$Z$71,2*(ROWS($L$4:L21)-1)+1),0)</f>
        <v>0</v>
      </c>
      <c r="M21" s="112" cm="1">
        <f t="array" ref="M21">IF(ISNUMBER(INDEX('M01-S01'!$AN$32:$AN$71,2*(ROWS($M$4:M21)-1)+1)),INDEX('M01-S01'!$AJ$32:$AJ$71,2*(ROWS($M$4:M21)-1)+1),0)</f>
        <v>0</v>
      </c>
      <c r="N21" s="134" cm="1">
        <f t="array" ref="N21">IF(ISNUMBER(INDEX('M01-S01'!$AN$32:$AN$71,2*(ROWS($N$4:N21)-1)+1)),INDEX('M01-S01'!$AU$32:$AU$71,2*(ROWS($N$4:N21)-1)+1),0)</f>
        <v>0</v>
      </c>
      <c r="O21" s="56" cm="1">
        <f t="array" ref="O21">IF(ISNUMBER(INDEX('M01-S01'!$AN$32:$AN$71,2*(ROWS($O$4:O21)-1)+1)),INDEX('M01-S01'!$AN$32:$AN$71,2*(ROWS($O$4:O21)-1)+1)*INCENTCAPADJ,0)</f>
        <v>0</v>
      </c>
      <c r="P21" s="112" t="str">
        <f>IFERROR(IF(NOT(ISNUMBER(INDEX('M01-S01'!$AN$32:$AN$71,2*(ROWS($P$4:P21)-1)+1))),INDEX('M01-S01'!$AJ$32:$AJ$71,2*(ROWS($P$4:P21)-1)+1),0),0)</f>
        <v/>
      </c>
      <c r="Q21" s="134" t="str">
        <f>IFERROR(IF(NOT(ISNUMBER(INDEX('M01-S01'!$AN$32:$AN$71,2*(ROWS($P$4:P21)-1)+1))),INDEX('M01-S01'!$AU$32:$AU$71,2*(ROWS($P$4:P21)-1)+1),0),0)</f>
        <v/>
      </c>
      <c r="R21" t="str">
        <f>IFERROR(IF(NOT(ISNUMBER(INDEX('M01-S01'!$AN$32:$AN$71,2*(ROWS($R$4:R21)-1)+1))),"Not Eligible",""),"")</f>
        <v>Not Eligible</v>
      </c>
      <c r="S21" s="117" t="str">
        <f>INDEX('M01-S01'!$J$32:$J$71,2*(ROWS($S$4:S21)-1)+1)</f>
        <v/>
      </c>
      <c r="T21" s="117">
        <f>INDEX('M01-S01'!$X$32:$X$71,2*(ROWS($T$4:T21)-1)+1)</f>
        <v>0</v>
      </c>
      <c r="U21" s="112" cm="1">
        <f t="array" ref="U21">INDEX('M01-S01'!$B$32:$B$71,2*(ROWS($U$4:U21)-1)+1)</f>
        <v>18</v>
      </c>
      <c r="V21" s="223">
        <f>INDEX('M01-S01'!F$32:$F$71,2*(ROWS($V$4:V21)-1)+1)</f>
        <v>0</v>
      </c>
      <c r="W21" s="53">
        <f>INDEX('M01-S01'!N$32:$N$71,2*(ROWS($W$4:W21)-1)+1)</f>
        <v>0</v>
      </c>
      <c r="X21" s="98"/>
      <c r="Y21">
        <f>INDEX('M01-S01'!R$32:$R$71,2*(ROWS($W$4:W21)-1)+1)</f>
        <v>0</v>
      </c>
      <c r="Z21" cm="1">
        <f t="array" ref="Z21">IFERROR(INDEX('M01-S01'!$AD$32:$AD$71,2*(ROWS($Z$4:Z21)-1)+1)/INDEX('M01-S01'!$AB$32:$AB$71,2*(ROWS(Z$4:$Z21)-1)+1),0)</f>
        <v>0</v>
      </c>
      <c r="AA21" t="str" cm="1">
        <f t="array" ref="AA21">IF(ISNUMBER(SEARCH("Linear",INDEX('M01-S01'!$C$32:$C$71,2*(ROWS($AA$4:AA21)-1)+1))),INDEX(CMLIGHTBASE[Measure Subgroup 1],MATCH(INDEX('M01-S01'!$F$32:$F$71,2*(ROWS($AA$4:AA21)-1)+1),CMLIGHTBASE[Base Desc 1],0)),"")</f>
        <v/>
      </c>
      <c r="AB21" t="str" cm="1">
        <f t="array" ref="AB21">IF(ISNUMBER(SEARCH("Linear",INDEX('M01-S01'!$C$32:$C$71,2*(ROWS($AB$4:AB21)-1)+1))),INDEX(CMLIGHTBASE[Measure Subgroup 2],MATCH(INDEX('M01-S01'!$F$32:$F$71,2*(ROWS($AB$4:AB21)-1)+1),CMLIGHTBASE[Base Desc 1],0)),"")</f>
        <v/>
      </c>
      <c r="AC21" s="98"/>
      <c r="AD21" s="53" t="str">
        <f>IF(ISNUMBER(INDEX('M01-S01'!$V$32:$V$71,2*(ROWS($AD$4:AD21)-1)+1)),INDEX('M01-S01'!$V$32:$V$71,2*(ROWS($AD$4:AD21)-1)+1)&amp;" Lamp","")</f>
        <v/>
      </c>
      <c r="AE21" s="112">
        <f>IFERROR(IF(NOT(ISNUMBER(INDEX('M01-S01'!$AN$32:$AN$71,2*(ROWS($AE$4:AE21)-1)+1))),INDEX('M01-S01'!$Z$32:$Z$71,2*(ROWS($AE$4:AE21)-1)+1),0),0)</f>
        <v>0</v>
      </c>
      <c r="AF21" s="112" t="str">
        <f>INDEX('M01-S01'!$AV$32:$AV$71,2*(ROWS($AF$4:AF21)-1)+1)</f>
        <v/>
      </c>
      <c r="AG21" s="112" t="str">
        <f>INDEX('M01-S01'!$AW$32:$AW$71,2*(ROWS($AF$4:AF21)-1)+1)</f>
        <v/>
      </c>
      <c r="AH21" s="112" t="str">
        <f t="shared" si="5"/>
        <v/>
      </c>
      <c r="AI21" s="112" t="str">
        <f t="shared" si="6"/>
        <v/>
      </c>
      <c r="AJ21" s="56" t="str">
        <f t="shared" si="7"/>
        <v/>
      </c>
      <c r="AK21" s="56" t="str">
        <f t="shared" si="8"/>
        <v/>
      </c>
      <c r="AL21" s="56" t="str">
        <f t="shared" si="9"/>
        <v/>
      </c>
      <c r="AM21" s="115"/>
      <c r="AN21" s="56" t="str">
        <f t="shared" si="10"/>
        <v/>
      </c>
      <c r="AO21" s="112" cm="1">
        <f t="array" ref="AO21">INDEX('M01-S01'!$L$32:$L$71,2*(ROWS($AO$4:AO21)-1)+1)</f>
        <v>0</v>
      </c>
      <c r="AP21" s="112" cm="1">
        <f t="array" ref="AP21">INDEX('M01-S01'!$AD$32:$AD$71,2*(ROWS($AP$4:AP21)-1)+1)</f>
        <v>0</v>
      </c>
      <c r="AQ21" s="56" t="str">
        <f>IF(INDEX('M01-S01'!$AJ$32:$AJ$71,2*(ROWS($AQ$4:AQ21)-1)+1)="","",IF(AND(INDEX('M01-S01'!$AJ$32:$AJ$71,2*(ROWS($AQ$4:AQ21)-1)+1)&lt;&gt;"",OR(ISNUMBER(SEARCH("AC With",M02S02F32)),M02S02F32="Heat Pump")),LIGHTHEATCOIN,1))</f>
        <v/>
      </c>
      <c r="AR21" s="404" cm="1">
        <f t="array" ref="AR21">ROUND((IF(INDEX('M01-S01'!$AN$32:$AN$71,2*(ROWS($O$4:O21)-1)+1)=INDEX('M01-S01'!$BH$32:$BH$71,2*(ROWS($O$4:O21)-1)+1),0,(INDEX('M01-S01'!$BG$32:$BG$71,2*(ROWS($O$4:O21)-1)+1)-INDEX('M01-S01'!$BH$32:$BH$71,2*(ROWS($O$4:O21)-1)+1))))*INCENTCAPADJ,2)</f>
        <v>0</v>
      </c>
    </row>
    <row r="22" spans="1:44" x14ac:dyDescent="0.25">
      <c r="A22">
        <f t="shared" si="1"/>
        <v>0</v>
      </c>
      <c r="B22" t="str">
        <f t="shared" si="3"/>
        <v/>
      </c>
      <c r="C22" t="str" cm="1">
        <f t="array" ref="C22">IFERROR(IF(J22&gt;0,INDEX('M01-S01'!$BA$32:$BA$71,2*(ROWS($C$4:C22)-1)+1),""),"")</f>
        <v/>
      </c>
      <c r="D22" t="s">
        <v>939</v>
      </c>
      <c r="E22" t="str">
        <f t="shared" si="4"/>
        <v/>
      </c>
      <c r="F22" s="112" t="str" cm="1">
        <f t="array" ref="F22">INDEX('M01-S01'!AB$32:$AB$71,2*(ROWS($F$4:F22)-1)+1)</f>
        <v/>
      </c>
      <c r="G22" s="113"/>
      <c r="H22" s="56" cm="1">
        <f t="array" ref="H22">ROUND(INDEX('M01-S01'!$AF$32:$AF$71,2*(ROWS($H$4:H22)-1)+1)*INDEX('M01-S01'!$Z$32:$Z$71,2*(ROWS($H$4:H22)-1)+1),2)</f>
        <v>0</v>
      </c>
      <c r="I22" s="56" cm="1">
        <f t="array" ref="I22">ROUND(INDEX('M01-S01'!$AH$32:$AH$71,2*(ROWS($I$4:I22)-1)+1)*INDEX('M01-S01'!$Z$32:$Z$71,2*(ROWS($I$4:I22)-1)+1),2)</f>
        <v>0</v>
      </c>
      <c r="J22" s="56" cm="1">
        <f t="array" ref="J22">IFERROR(ROUND(INDEX('M01-S01'!$AT$32:$AT$71,2*(ROWS($J$4:J22)-1)+1),2),0)</f>
        <v>0</v>
      </c>
      <c r="K22" t="s">
        <v>86</v>
      </c>
      <c r="L22" s="117">
        <f>IF(ISNUMBER(INDEX('M01-S01'!$AN$32:$AN$71,2*(ROWS($L$4:L22)-1)+1)),INDEX('M01-S01'!$Z$32:$Z$71,2*(ROWS($L$4:L22)-1)+1),0)</f>
        <v>0</v>
      </c>
      <c r="M22" s="112" cm="1">
        <f t="array" ref="M22">IF(ISNUMBER(INDEX('M01-S01'!$AN$32:$AN$71,2*(ROWS($M$4:M22)-1)+1)),INDEX('M01-S01'!$AJ$32:$AJ$71,2*(ROWS($M$4:M22)-1)+1),0)</f>
        <v>0</v>
      </c>
      <c r="N22" s="134" cm="1">
        <f t="array" ref="N22">IF(ISNUMBER(INDEX('M01-S01'!$AN$32:$AN$71,2*(ROWS($N$4:N22)-1)+1)),INDEX('M01-S01'!$AU$32:$AU$71,2*(ROWS($N$4:N22)-1)+1),0)</f>
        <v>0</v>
      </c>
      <c r="O22" s="56" cm="1">
        <f t="array" ref="O22">IF(ISNUMBER(INDEX('M01-S01'!$AN$32:$AN$71,2*(ROWS($O$4:O22)-1)+1)),INDEX('M01-S01'!$AN$32:$AN$71,2*(ROWS($O$4:O22)-1)+1)*INCENTCAPADJ,0)</f>
        <v>0</v>
      </c>
      <c r="P22" s="112" t="str">
        <f>IFERROR(IF(NOT(ISNUMBER(INDEX('M01-S01'!$AN$32:$AN$71,2*(ROWS($P$4:P22)-1)+1))),INDEX('M01-S01'!$AJ$32:$AJ$71,2*(ROWS($P$4:P22)-1)+1),0),0)</f>
        <v/>
      </c>
      <c r="Q22" s="134" t="str">
        <f>IFERROR(IF(NOT(ISNUMBER(INDEX('M01-S01'!$AN$32:$AN$71,2*(ROWS($P$4:P22)-1)+1))),INDEX('M01-S01'!$AU$32:$AU$71,2*(ROWS($P$4:P22)-1)+1),0),0)</f>
        <v/>
      </c>
      <c r="R22" t="str">
        <f>IFERROR(IF(NOT(ISNUMBER(INDEX('M01-S01'!$AN$32:$AN$71,2*(ROWS($R$4:R22)-1)+1))),"Not Eligible",""),"")</f>
        <v>Not Eligible</v>
      </c>
      <c r="S22" s="117" t="str">
        <f>INDEX('M01-S01'!$J$32:$J$71,2*(ROWS($S$4:S22)-1)+1)</f>
        <v/>
      </c>
      <c r="T22" s="117">
        <f>INDEX('M01-S01'!$X$32:$X$71,2*(ROWS($T$4:T22)-1)+1)</f>
        <v>0</v>
      </c>
      <c r="U22" s="112" cm="1">
        <f t="array" ref="U22">INDEX('M01-S01'!$B$32:$B$71,2*(ROWS($U$4:U22)-1)+1)</f>
        <v>19</v>
      </c>
      <c r="V22" s="223">
        <f>INDEX('M01-S01'!F$32:$F$71,2*(ROWS($V$4:V22)-1)+1)</f>
        <v>0</v>
      </c>
      <c r="W22" s="53">
        <f>INDEX('M01-S01'!N$32:$N$71,2*(ROWS($W$4:W22)-1)+1)</f>
        <v>0</v>
      </c>
      <c r="X22" s="98"/>
      <c r="Y22">
        <f>INDEX('M01-S01'!R$32:$R$71,2*(ROWS($W$4:W22)-1)+1)</f>
        <v>0</v>
      </c>
      <c r="Z22" cm="1">
        <f t="array" ref="Z22">IFERROR(INDEX('M01-S01'!$AD$32:$AD$71,2*(ROWS($Z$4:Z22)-1)+1)/INDEX('M01-S01'!$AB$32:$AB$71,2*(ROWS(Z$4:$Z22)-1)+1),0)</f>
        <v>0</v>
      </c>
      <c r="AA22" t="str" cm="1">
        <f t="array" ref="AA22">IF(ISNUMBER(SEARCH("Linear",INDEX('M01-S01'!$C$32:$C$71,2*(ROWS($AA$4:AA22)-1)+1))),INDEX(CMLIGHTBASE[Measure Subgroup 1],MATCH(INDEX('M01-S01'!$F$32:$F$71,2*(ROWS($AA$4:AA22)-1)+1),CMLIGHTBASE[Base Desc 1],0)),"")</f>
        <v/>
      </c>
      <c r="AB22" t="str" cm="1">
        <f t="array" ref="AB22">IF(ISNUMBER(SEARCH("Linear",INDEX('M01-S01'!$C$32:$C$71,2*(ROWS($AB$4:AB22)-1)+1))),INDEX(CMLIGHTBASE[Measure Subgroup 2],MATCH(INDEX('M01-S01'!$F$32:$F$71,2*(ROWS($AB$4:AB22)-1)+1),CMLIGHTBASE[Base Desc 1],0)),"")</f>
        <v/>
      </c>
      <c r="AC22" s="98"/>
      <c r="AD22" s="53" t="str">
        <f>IF(ISNUMBER(INDEX('M01-S01'!$V$32:$V$71,2*(ROWS($AD$4:AD22)-1)+1)),INDEX('M01-S01'!$V$32:$V$71,2*(ROWS($AD$4:AD22)-1)+1)&amp;" Lamp","")</f>
        <v/>
      </c>
      <c r="AE22" s="112">
        <f>IFERROR(IF(NOT(ISNUMBER(INDEX('M01-S01'!$AN$32:$AN$71,2*(ROWS($AE$4:AE22)-1)+1))),INDEX('M01-S01'!$Z$32:$Z$71,2*(ROWS($AE$4:AE22)-1)+1),0),0)</f>
        <v>0</v>
      </c>
      <c r="AF22" s="112" t="str">
        <f>INDEX('M01-S01'!$AV$32:$AV$71,2*(ROWS($AF$4:AF22)-1)+1)</f>
        <v/>
      </c>
      <c r="AG22" s="112" t="str">
        <f>INDEX('M01-S01'!$AW$32:$AW$71,2*(ROWS($AF$4:AF22)-1)+1)</f>
        <v/>
      </c>
      <c r="AH22" s="112" t="str">
        <f t="shared" si="5"/>
        <v/>
      </c>
      <c r="AI22" s="112" t="str">
        <f t="shared" si="6"/>
        <v/>
      </c>
      <c r="AJ22" s="56" t="str">
        <f t="shared" si="7"/>
        <v/>
      </c>
      <c r="AK22" s="56" t="str">
        <f t="shared" si="8"/>
        <v/>
      </c>
      <c r="AL22" s="56" t="str">
        <f t="shared" si="9"/>
        <v/>
      </c>
      <c r="AM22" s="115"/>
      <c r="AN22" s="56" t="str">
        <f t="shared" si="10"/>
        <v/>
      </c>
      <c r="AO22" s="112" cm="1">
        <f t="array" ref="AO22">INDEX('M01-S01'!$L$32:$L$71,2*(ROWS($AO$4:AO22)-1)+1)</f>
        <v>0</v>
      </c>
      <c r="AP22" s="112" cm="1">
        <f t="array" ref="AP22">INDEX('M01-S01'!$AD$32:$AD$71,2*(ROWS($AP$4:AP22)-1)+1)</f>
        <v>0</v>
      </c>
      <c r="AQ22" s="56" t="str">
        <f>IF(INDEX('M01-S01'!$AJ$32:$AJ$71,2*(ROWS($AQ$4:AQ22)-1)+1)="","",IF(AND(INDEX('M01-S01'!$AJ$32:$AJ$71,2*(ROWS($AQ$4:AQ22)-1)+1)&lt;&gt;"",OR(ISNUMBER(SEARCH("AC With",M02S02F32)),M02S02F32="Heat Pump")),LIGHTHEATCOIN,1))</f>
        <v/>
      </c>
      <c r="AR22" s="404" cm="1">
        <f t="array" ref="AR22">ROUND((IF(INDEX('M01-S01'!$AN$32:$AN$71,2*(ROWS($O$4:O22)-1)+1)=INDEX('M01-S01'!$BH$32:$BH$71,2*(ROWS($O$4:O22)-1)+1),0,(INDEX('M01-S01'!$BG$32:$BG$71,2*(ROWS($O$4:O22)-1)+1)-INDEX('M01-S01'!$BH$32:$BH$71,2*(ROWS($O$4:O22)-1)+1))))*INCENTCAPADJ,2)</f>
        <v>0</v>
      </c>
    </row>
    <row r="23" spans="1:44" x14ac:dyDescent="0.25">
      <c r="A23">
        <f t="shared" si="1"/>
        <v>0</v>
      </c>
      <c r="B23" t="str">
        <f t="shared" si="3"/>
        <v/>
      </c>
      <c r="C23" t="str" cm="1">
        <f t="array" ref="C23">IFERROR(IF(J23&gt;0,INDEX('M01-S01'!$BA$32:$BA$71,2*(ROWS($C$4:C23)-1)+1),""),"")</f>
        <v/>
      </c>
      <c r="D23" t="s">
        <v>939</v>
      </c>
      <c r="E23" t="str">
        <f t="shared" si="4"/>
        <v/>
      </c>
      <c r="F23" s="112" t="str" cm="1">
        <f t="array" ref="F23">INDEX('M01-S01'!AB$32:$AB$71,2*(ROWS($F$4:F23)-1)+1)</f>
        <v/>
      </c>
      <c r="G23" s="113"/>
      <c r="H23" s="56" cm="1">
        <f t="array" ref="H23">ROUND(INDEX('M01-S01'!$AF$32:$AF$71,2*(ROWS($H$4:H23)-1)+1)*INDEX('M01-S01'!$Z$32:$Z$71,2*(ROWS($H$4:H23)-1)+1),2)</f>
        <v>0</v>
      </c>
      <c r="I23" s="56" cm="1">
        <f t="array" ref="I23">ROUND(INDEX('M01-S01'!$AH$32:$AH$71,2*(ROWS($I$4:I23)-1)+1)*INDEX('M01-S01'!$Z$32:$Z$71,2*(ROWS($I$4:I23)-1)+1),2)</f>
        <v>0</v>
      </c>
      <c r="J23" s="56" cm="1">
        <f t="array" ref="J23">IFERROR(ROUND(INDEX('M01-S01'!$AT$32:$AT$71,2*(ROWS($J$4:J23)-1)+1),2),0)</f>
        <v>0</v>
      </c>
      <c r="K23" t="s">
        <v>86</v>
      </c>
      <c r="L23" s="117">
        <f>IF(ISNUMBER(INDEX('M01-S01'!$AN$32:$AN$71,2*(ROWS($L$4:L23)-1)+1)),INDEX('M01-S01'!$Z$32:$Z$71,2*(ROWS($L$4:L23)-1)+1),0)</f>
        <v>0</v>
      </c>
      <c r="M23" s="112" cm="1">
        <f t="array" ref="M23">IF(ISNUMBER(INDEX('M01-S01'!$AN$32:$AN$71,2*(ROWS($M$4:M23)-1)+1)),INDEX('M01-S01'!$AJ$32:$AJ$71,2*(ROWS($M$4:M23)-1)+1),0)</f>
        <v>0</v>
      </c>
      <c r="N23" s="134" cm="1">
        <f t="array" ref="N23">IF(ISNUMBER(INDEX('M01-S01'!$AN$32:$AN$71,2*(ROWS($N$4:N23)-1)+1)),INDEX('M01-S01'!$AU$32:$AU$71,2*(ROWS($N$4:N23)-1)+1),0)</f>
        <v>0</v>
      </c>
      <c r="O23" s="56" cm="1">
        <f t="array" ref="O23">IF(ISNUMBER(INDEX('M01-S01'!$AN$32:$AN$71,2*(ROWS($O$4:O23)-1)+1)),INDEX('M01-S01'!$AN$32:$AN$71,2*(ROWS($O$4:O23)-1)+1)*INCENTCAPADJ,0)</f>
        <v>0</v>
      </c>
      <c r="P23" s="112" t="str">
        <f>IFERROR(IF(NOT(ISNUMBER(INDEX('M01-S01'!$AN$32:$AN$71,2*(ROWS($P$4:P23)-1)+1))),INDEX('M01-S01'!$AJ$32:$AJ$71,2*(ROWS($P$4:P23)-1)+1),0),0)</f>
        <v/>
      </c>
      <c r="Q23" s="134" t="str">
        <f>IFERROR(IF(NOT(ISNUMBER(INDEX('M01-S01'!$AN$32:$AN$71,2*(ROWS($P$4:P23)-1)+1))),INDEX('M01-S01'!$AU$32:$AU$71,2*(ROWS($P$4:P23)-1)+1),0),0)</f>
        <v/>
      </c>
      <c r="R23" t="str">
        <f>IFERROR(IF(NOT(ISNUMBER(INDEX('M01-S01'!$AN$32:$AN$71,2*(ROWS($R$4:R23)-1)+1))),"Not Eligible",""),"")</f>
        <v>Not Eligible</v>
      </c>
      <c r="S23" s="117" t="str">
        <f>INDEX('M01-S01'!$J$32:$J$71,2*(ROWS($S$4:S23)-1)+1)</f>
        <v/>
      </c>
      <c r="T23" s="117">
        <f>INDEX('M01-S01'!$X$32:$X$71,2*(ROWS($T$4:T23)-1)+1)</f>
        <v>0</v>
      </c>
      <c r="U23" s="112" cm="1">
        <f t="array" ref="U23">INDEX('M01-S01'!$B$32:$B$71,2*(ROWS($U$4:U23)-1)+1)</f>
        <v>20</v>
      </c>
      <c r="V23" s="223">
        <f>INDEX('M01-S01'!F$32:$F$71,2*(ROWS($V$4:V23)-1)+1)</f>
        <v>0</v>
      </c>
      <c r="W23" s="53">
        <f>INDEX('M01-S01'!N$32:$N$71,2*(ROWS($W$4:W23)-1)+1)</f>
        <v>0</v>
      </c>
      <c r="X23" s="98"/>
      <c r="Y23">
        <f>INDEX('M01-S01'!R$32:$R$71,2*(ROWS($W$4:W23)-1)+1)</f>
        <v>0</v>
      </c>
      <c r="Z23" cm="1">
        <f t="array" ref="Z23">IFERROR(INDEX('M01-S01'!$AD$32:$AD$71,2*(ROWS($Z$4:Z23)-1)+1)/INDEX('M01-S01'!$AB$32:$AB$71,2*(ROWS(Z$4:$Z23)-1)+1),0)</f>
        <v>0</v>
      </c>
      <c r="AA23" t="str" cm="1">
        <f t="array" ref="AA23">IF(ISNUMBER(SEARCH("Linear",INDEX('M01-S01'!$C$32:$C$71,2*(ROWS($AA$4:AA23)-1)+1))),INDEX(CMLIGHTBASE[Measure Subgroup 1],MATCH(INDEX('M01-S01'!$F$32:$F$71,2*(ROWS($AA$4:AA23)-1)+1),CMLIGHTBASE[Base Desc 1],0)),"")</f>
        <v/>
      </c>
      <c r="AB23" t="str" cm="1">
        <f t="array" ref="AB23">IF(ISNUMBER(SEARCH("Linear",INDEX('M01-S01'!$C$32:$C$71,2*(ROWS($AB$4:AB23)-1)+1))),INDEX(CMLIGHTBASE[Measure Subgroup 2],MATCH(INDEX('M01-S01'!$F$32:$F$71,2*(ROWS($AB$4:AB23)-1)+1),CMLIGHTBASE[Base Desc 1],0)),"")</f>
        <v/>
      </c>
      <c r="AC23" s="98"/>
      <c r="AD23" s="53" t="str">
        <f>IF(ISNUMBER(INDEX('M01-S01'!$V$32:$V$71,2*(ROWS($AD$4:AD23)-1)+1)),INDEX('M01-S01'!$V$32:$V$71,2*(ROWS($AD$4:AD23)-1)+1)&amp;" Lamp","")</f>
        <v/>
      </c>
      <c r="AE23" s="112">
        <f>IFERROR(IF(NOT(ISNUMBER(INDEX('M01-S01'!$AN$32:$AN$71,2*(ROWS($AE$4:AE23)-1)+1))),INDEX('M01-S01'!$Z$32:$Z$71,2*(ROWS($AE$4:AE23)-1)+1),0),0)</f>
        <v>0</v>
      </c>
      <c r="AF23" s="112" t="str">
        <f>INDEX('M01-S01'!$AV$32:$AV$71,2*(ROWS($AF$4:AF23)-1)+1)</f>
        <v/>
      </c>
      <c r="AG23" s="112" t="str">
        <f>INDEX('M01-S01'!$AW$32:$AW$71,2*(ROWS($AF$4:AF23)-1)+1)</f>
        <v/>
      </c>
      <c r="AH23" s="112" t="str">
        <f t="shared" si="5"/>
        <v/>
      </c>
      <c r="AI23" s="112" t="str">
        <f t="shared" si="6"/>
        <v/>
      </c>
      <c r="AJ23" s="56" t="str">
        <f t="shared" si="7"/>
        <v/>
      </c>
      <c r="AK23" s="56" t="str">
        <f t="shared" si="8"/>
        <v/>
      </c>
      <c r="AL23" s="56" t="str">
        <f t="shared" si="9"/>
        <v/>
      </c>
      <c r="AM23" s="115"/>
      <c r="AN23" s="56" t="str">
        <f t="shared" si="10"/>
        <v/>
      </c>
      <c r="AO23" s="112" cm="1">
        <f t="array" ref="AO23">INDEX('M01-S01'!$L$32:$L$71,2*(ROWS($AO$4:AO23)-1)+1)</f>
        <v>0</v>
      </c>
      <c r="AP23" s="112" cm="1">
        <f t="array" ref="AP23">INDEX('M01-S01'!$AD$32:$AD$71,2*(ROWS($AP$4:AP23)-1)+1)</f>
        <v>0</v>
      </c>
      <c r="AQ23" s="56" t="str">
        <f>IF(INDEX('M01-S01'!$AJ$32:$AJ$71,2*(ROWS($AQ$4:AQ23)-1)+1)="","",IF(AND(INDEX('M01-S01'!$AJ$32:$AJ$71,2*(ROWS($AQ$4:AQ23)-1)+1)&lt;&gt;"",OR(ISNUMBER(SEARCH("AC With",M02S02F32)),M02S02F32="Heat Pump")),LIGHTHEATCOIN,1))</f>
        <v/>
      </c>
      <c r="AR23" s="404" cm="1">
        <f t="array" ref="AR23">ROUND((IF(INDEX('M01-S01'!$AN$32:$AN$71,2*(ROWS($O$4:O23)-1)+1)=INDEX('M01-S01'!$BH$32:$BH$71,2*(ROWS($O$4:O23)-1)+1),0,(INDEX('M01-S01'!$BG$32:$BG$71,2*(ROWS($O$4:O23)-1)+1)-INDEX('M01-S01'!$BH$32:$BH$71,2*(ROWS($O$4:O23)-1)+1))))*INCENTCAPADJ,2)</f>
        <v>0</v>
      </c>
    </row>
    <row r="24" spans="1:44" hidden="1" x14ac:dyDescent="0.25">
      <c r="F24" s="113"/>
      <c r="G24" s="113"/>
      <c r="L24" s="117"/>
      <c r="P24" s="113"/>
      <c r="Q24" s="136"/>
      <c r="R24" s="98"/>
      <c r="S24" s="118"/>
      <c r="T24" s="118"/>
      <c r="V24" s="223"/>
      <c r="X24" s="98"/>
      <c r="Z24" s="98"/>
      <c r="AA24" s="98"/>
      <c r="AB24" s="98"/>
      <c r="AC24" s="298"/>
      <c r="AD24" s="53"/>
      <c r="AE24" s="113"/>
      <c r="AF24" s="113"/>
      <c r="AG24" s="113"/>
      <c r="AH24" s="113"/>
      <c r="AI24" s="113"/>
      <c r="AM24" s="115"/>
      <c r="AO24" s="113"/>
      <c r="AP24" s="113"/>
      <c r="AQ24" s="56"/>
      <c r="AR24" s="404"/>
    </row>
    <row r="25" spans="1:44" hidden="1" x14ac:dyDescent="0.25">
      <c r="F25" s="113"/>
      <c r="G25" s="113"/>
      <c r="L25" s="117"/>
      <c r="P25" s="113"/>
      <c r="Q25" s="136"/>
      <c r="R25" s="98"/>
      <c r="S25" s="118"/>
      <c r="T25" s="118"/>
      <c r="V25" s="223"/>
      <c r="X25" s="98"/>
      <c r="Z25" s="98"/>
      <c r="AA25" s="98"/>
      <c r="AB25" s="98"/>
      <c r="AC25" s="298"/>
      <c r="AD25" s="53"/>
      <c r="AE25" s="113"/>
      <c r="AF25" s="113"/>
      <c r="AG25" s="113"/>
      <c r="AH25" s="113"/>
      <c r="AI25" s="113"/>
      <c r="AM25" s="115"/>
      <c r="AO25" s="113"/>
      <c r="AP25" s="113"/>
      <c r="AQ25" s="56"/>
      <c r="AR25" s="404"/>
    </row>
    <row r="26" spans="1:44" hidden="1" x14ac:dyDescent="0.25">
      <c r="F26" s="113"/>
      <c r="G26" s="113"/>
      <c r="L26" s="117"/>
      <c r="P26" s="113"/>
      <c r="Q26" s="136"/>
      <c r="R26" s="98"/>
      <c r="S26" s="118"/>
      <c r="T26" s="118"/>
      <c r="V26" s="223"/>
      <c r="X26" s="98"/>
      <c r="Z26" s="98"/>
      <c r="AA26" s="98"/>
      <c r="AB26" s="98"/>
      <c r="AC26" s="298"/>
      <c r="AD26" s="53"/>
      <c r="AE26" s="113"/>
      <c r="AF26" s="113"/>
      <c r="AG26" s="113"/>
      <c r="AH26" s="113"/>
      <c r="AI26" s="113"/>
      <c r="AM26" s="115"/>
      <c r="AO26" s="113"/>
      <c r="AP26" s="113"/>
      <c r="AQ26" s="56"/>
      <c r="AR26" s="404"/>
    </row>
    <row r="27" spans="1:44" hidden="1" x14ac:dyDescent="0.25">
      <c r="F27" s="113"/>
      <c r="G27" s="113"/>
      <c r="L27" s="117"/>
      <c r="P27" s="113"/>
      <c r="Q27" s="136"/>
      <c r="R27" s="98"/>
      <c r="S27" s="118"/>
      <c r="T27" s="118"/>
      <c r="V27" s="223"/>
      <c r="X27" s="98"/>
      <c r="Z27" s="98"/>
      <c r="AA27" s="98"/>
      <c r="AB27" s="98"/>
      <c r="AC27" s="298"/>
      <c r="AD27" s="53"/>
      <c r="AE27" s="113"/>
      <c r="AF27" s="113"/>
      <c r="AG27" s="113"/>
      <c r="AH27" s="113"/>
      <c r="AI27" s="113"/>
      <c r="AM27" s="115"/>
      <c r="AO27" s="113"/>
      <c r="AP27" s="113"/>
      <c r="AQ27" s="56"/>
      <c r="AR27" s="404"/>
    </row>
    <row r="28" spans="1:44" hidden="1" x14ac:dyDescent="0.25">
      <c r="F28" s="113"/>
      <c r="G28" s="113"/>
      <c r="L28" s="117"/>
      <c r="P28" s="113"/>
      <c r="Q28" s="136"/>
      <c r="R28" s="98"/>
      <c r="S28" s="118"/>
      <c r="T28" s="118"/>
      <c r="V28" s="223"/>
      <c r="X28" s="98"/>
      <c r="Z28" s="98"/>
      <c r="AA28" s="98"/>
      <c r="AB28" s="98"/>
      <c r="AC28" s="298"/>
      <c r="AD28" s="53"/>
      <c r="AE28" s="113"/>
      <c r="AF28" s="113"/>
      <c r="AG28" s="113"/>
      <c r="AH28" s="113"/>
      <c r="AI28" s="113"/>
      <c r="AM28" s="115"/>
      <c r="AO28" s="113"/>
      <c r="AP28" s="113"/>
      <c r="AQ28" s="56"/>
      <c r="AR28" s="404"/>
    </row>
    <row r="29" spans="1:44" hidden="1" x14ac:dyDescent="0.25">
      <c r="F29" s="113"/>
      <c r="G29" s="113"/>
      <c r="L29" s="117"/>
      <c r="P29" s="113"/>
      <c r="Q29" s="136"/>
      <c r="R29" s="98"/>
      <c r="S29" s="118"/>
      <c r="T29" s="118"/>
      <c r="V29" s="223"/>
      <c r="X29" s="98"/>
      <c r="Z29" s="98"/>
      <c r="AA29" s="98"/>
      <c r="AB29" s="98"/>
      <c r="AC29" s="298"/>
      <c r="AD29" s="53"/>
      <c r="AE29" s="113"/>
      <c r="AF29" s="113"/>
      <c r="AG29" s="113"/>
      <c r="AH29" s="113"/>
      <c r="AI29" s="113"/>
      <c r="AM29" s="115"/>
      <c r="AO29" s="113"/>
      <c r="AP29" s="113"/>
      <c r="AQ29" s="56"/>
      <c r="AR29" s="404"/>
    </row>
    <row r="30" spans="1:44" hidden="1" x14ac:dyDescent="0.25">
      <c r="F30" s="113"/>
      <c r="G30" s="113"/>
      <c r="L30" s="117"/>
      <c r="P30" s="113"/>
      <c r="Q30" s="136"/>
      <c r="R30" s="98"/>
      <c r="S30" s="118"/>
      <c r="T30" s="118"/>
      <c r="V30" s="223"/>
      <c r="X30" s="98"/>
      <c r="Z30" s="98"/>
      <c r="AA30" s="98"/>
      <c r="AB30" s="98"/>
      <c r="AC30" s="298"/>
      <c r="AD30" s="53"/>
      <c r="AE30" s="113"/>
      <c r="AF30" s="113"/>
      <c r="AG30" s="113"/>
      <c r="AH30" s="113"/>
      <c r="AI30" s="113"/>
      <c r="AM30" s="115"/>
      <c r="AO30" s="113"/>
      <c r="AP30" s="113"/>
      <c r="AQ30" s="56"/>
      <c r="AR30" s="404"/>
    </row>
    <row r="31" spans="1:44" hidden="1" x14ac:dyDescent="0.25">
      <c r="F31" s="113"/>
      <c r="G31" s="113"/>
      <c r="L31" s="117"/>
      <c r="P31" s="113"/>
      <c r="Q31" s="136"/>
      <c r="R31" s="98"/>
      <c r="S31" s="118"/>
      <c r="T31" s="118"/>
      <c r="V31" s="223"/>
      <c r="X31" s="98"/>
      <c r="Z31" s="98"/>
      <c r="AA31" s="98"/>
      <c r="AB31" s="98"/>
      <c r="AC31" s="298"/>
      <c r="AD31" s="53"/>
      <c r="AE31" s="113"/>
      <c r="AF31" s="113"/>
      <c r="AG31" s="113"/>
      <c r="AH31" s="113"/>
      <c r="AI31" s="113"/>
      <c r="AM31" s="115"/>
      <c r="AO31" s="113"/>
      <c r="AP31" s="113"/>
      <c r="AQ31" s="56"/>
      <c r="AR31" s="404"/>
    </row>
    <row r="32" spans="1:44" hidden="1" x14ac:dyDescent="0.25">
      <c r="F32" s="113"/>
      <c r="G32" s="113"/>
      <c r="L32" s="117"/>
      <c r="P32" s="113"/>
      <c r="Q32" s="136"/>
      <c r="R32" s="98"/>
      <c r="S32" s="118"/>
      <c r="T32" s="118"/>
      <c r="V32" s="223"/>
      <c r="X32" s="98"/>
      <c r="Z32" s="98"/>
      <c r="AA32" s="98"/>
      <c r="AB32" s="98"/>
      <c r="AC32" s="298"/>
      <c r="AD32" s="53"/>
      <c r="AE32" s="113"/>
      <c r="AF32" s="113"/>
      <c r="AG32" s="113"/>
      <c r="AH32" s="113"/>
      <c r="AI32" s="113"/>
      <c r="AM32" s="115"/>
      <c r="AO32" s="113"/>
      <c r="AP32" s="113"/>
      <c r="AQ32" s="56"/>
      <c r="AR32" s="404"/>
    </row>
    <row r="33" spans="6:44" hidden="1" x14ac:dyDescent="0.25">
      <c r="F33" s="113"/>
      <c r="G33" s="113"/>
      <c r="L33" s="117"/>
      <c r="P33" s="113"/>
      <c r="Q33" s="136"/>
      <c r="R33" s="98"/>
      <c r="S33" s="118"/>
      <c r="T33" s="118"/>
      <c r="V33" s="223"/>
      <c r="X33" s="98"/>
      <c r="Z33" s="98"/>
      <c r="AA33" s="98"/>
      <c r="AB33" s="98"/>
      <c r="AC33" s="298"/>
      <c r="AD33" s="53"/>
      <c r="AE33" s="113"/>
      <c r="AF33" s="113"/>
      <c r="AG33" s="113"/>
      <c r="AH33" s="113"/>
      <c r="AI33" s="113"/>
      <c r="AM33" s="115"/>
      <c r="AO33" s="113"/>
      <c r="AP33" s="113"/>
      <c r="AQ33" s="56"/>
      <c r="AR33" s="404"/>
    </row>
    <row r="34" spans="6:44" hidden="1" x14ac:dyDescent="0.25">
      <c r="F34" s="113"/>
      <c r="G34" s="113"/>
      <c r="L34" s="117"/>
      <c r="P34" s="113"/>
      <c r="Q34" s="136"/>
      <c r="R34" s="98"/>
      <c r="S34" s="118"/>
      <c r="T34" s="118"/>
      <c r="V34" s="223"/>
      <c r="X34" s="98"/>
      <c r="Z34" s="98"/>
      <c r="AA34" s="98"/>
      <c r="AB34" s="98"/>
      <c r="AC34" s="298"/>
      <c r="AD34" s="53"/>
      <c r="AE34" s="113"/>
      <c r="AF34" s="113"/>
      <c r="AG34" s="113"/>
      <c r="AH34" s="113"/>
      <c r="AI34" s="113"/>
      <c r="AM34" s="115"/>
      <c r="AO34" s="113"/>
      <c r="AP34" s="113"/>
      <c r="AQ34" s="56"/>
      <c r="AR34" s="404"/>
    </row>
    <row r="35" spans="6:44" hidden="1" x14ac:dyDescent="0.25">
      <c r="F35" s="113"/>
      <c r="G35" s="113"/>
      <c r="L35" s="117"/>
      <c r="P35" s="113"/>
      <c r="Q35" s="136"/>
      <c r="R35" s="98"/>
      <c r="S35" s="118"/>
      <c r="T35" s="118"/>
      <c r="V35" s="223"/>
      <c r="X35" s="98"/>
      <c r="Z35" s="98"/>
      <c r="AA35" s="98"/>
      <c r="AB35" s="98"/>
      <c r="AC35" s="298"/>
      <c r="AD35" s="53"/>
      <c r="AE35" s="113"/>
      <c r="AF35" s="113"/>
      <c r="AG35" s="113"/>
      <c r="AH35" s="113"/>
      <c r="AI35" s="113"/>
      <c r="AM35" s="115"/>
      <c r="AO35" s="113"/>
      <c r="AP35" s="113"/>
      <c r="AQ35" s="56"/>
      <c r="AR35" s="404"/>
    </row>
    <row r="36" spans="6:44" hidden="1" x14ac:dyDescent="0.25">
      <c r="F36" s="113"/>
      <c r="G36" s="113"/>
      <c r="L36" s="117"/>
      <c r="P36" s="113"/>
      <c r="Q36" s="136"/>
      <c r="R36" s="98"/>
      <c r="S36" s="118"/>
      <c r="T36" s="118"/>
      <c r="V36" s="223"/>
      <c r="X36" s="98"/>
      <c r="Z36" s="98"/>
      <c r="AA36" s="98"/>
      <c r="AB36" s="98"/>
      <c r="AC36" s="298"/>
      <c r="AD36" s="53"/>
      <c r="AE36" s="113"/>
      <c r="AF36" s="113"/>
      <c r="AG36" s="113"/>
      <c r="AH36" s="113"/>
      <c r="AI36" s="113"/>
      <c r="AM36" s="115"/>
      <c r="AO36" s="113"/>
      <c r="AP36" s="113"/>
      <c r="AQ36" s="56"/>
      <c r="AR36" s="404"/>
    </row>
    <row r="37" spans="6:44" hidden="1" x14ac:dyDescent="0.25">
      <c r="F37" s="113"/>
      <c r="G37" s="113"/>
      <c r="L37" s="117"/>
      <c r="P37" s="113"/>
      <c r="Q37" s="136"/>
      <c r="R37" s="98"/>
      <c r="S37" s="118"/>
      <c r="T37" s="118"/>
      <c r="V37" s="223"/>
      <c r="X37" s="98"/>
      <c r="Z37" s="98"/>
      <c r="AA37" s="98"/>
      <c r="AB37" s="98"/>
      <c r="AC37" s="298"/>
      <c r="AD37" s="53"/>
      <c r="AE37" s="113"/>
      <c r="AF37" s="113"/>
      <c r="AG37" s="113"/>
      <c r="AH37" s="113"/>
      <c r="AI37" s="113"/>
      <c r="AM37" s="115"/>
      <c r="AO37" s="113"/>
      <c r="AP37" s="113"/>
      <c r="AQ37" s="56"/>
      <c r="AR37" s="404"/>
    </row>
    <row r="38" spans="6:44" hidden="1" x14ac:dyDescent="0.25">
      <c r="F38" s="113"/>
      <c r="G38" s="113"/>
      <c r="L38" s="117"/>
      <c r="P38" s="113"/>
      <c r="Q38" s="136"/>
      <c r="R38" s="98"/>
      <c r="S38" s="118"/>
      <c r="T38" s="118"/>
      <c r="V38" s="223"/>
      <c r="X38" s="98"/>
      <c r="Z38" s="98"/>
      <c r="AA38" s="98"/>
      <c r="AB38" s="98"/>
      <c r="AC38" s="298"/>
      <c r="AD38" s="53"/>
      <c r="AE38" s="113"/>
      <c r="AF38" s="113"/>
      <c r="AG38" s="113"/>
      <c r="AH38" s="113"/>
      <c r="AI38" s="113"/>
      <c r="AM38" s="115"/>
      <c r="AO38" s="113"/>
      <c r="AP38" s="113"/>
      <c r="AQ38" s="56"/>
      <c r="AR38" s="404"/>
    </row>
    <row r="39" spans="6:44" hidden="1" x14ac:dyDescent="0.25">
      <c r="F39" s="113"/>
      <c r="G39" s="113"/>
      <c r="L39" s="117"/>
      <c r="P39" s="113"/>
      <c r="Q39" s="136"/>
      <c r="R39" s="98"/>
      <c r="S39" s="118"/>
      <c r="T39" s="118"/>
      <c r="V39" s="223"/>
      <c r="X39" s="98"/>
      <c r="Z39" s="98"/>
      <c r="AA39" s="98"/>
      <c r="AB39" s="98"/>
      <c r="AC39" s="298"/>
      <c r="AD39" s="53"/>
      <c r="AE39" s="113"/>
      <c r="AF39" s="113"/>
      <c r="AG39" s="113"/>
      <c r="AH39" s="113"/>
      <c r="AI39" s="113"/>
      <c r="AM39" s="115"/>
      <c r="AO39" s="113"/>
      <c r="AP39" s="113"/>
      <c r="AQ39" s="56"/>
      <c r="AR39" s="404"/>
    </row>
    <row r="40" spans="6:44" hidden="1" x14ac:dyDescent="0.25">
      <c r="F40" s="113"/>
      <c r="G40" s="113"/>
      <c r="L40" s="117"/>
      <c r="P40" s="113"/>
      <c r="Q40" s="136"/>
      <c r="R40" s="98"/>
      <c r="S40" s="118"/>
      <c r="T40" s="118"/>
      <c r="V40" s="223"/>
      <c r="X40" s="98"/>
      <c r="Z40" s="98"/>
      <c r="AA40" s="98"/>
      <c r="AB40" s="98"/>
      <c r="AC40" s="298"/>
      <c r="AD40" s="53"/>
      <c r="AE40" s="113"/>
      <c r="AF40" s="113"/>
      <c r="AG40" s="113"/>
      <c r="AH40" s="113"/>
      <c r="AI40" s="113"/>
      <c r="AM40" s="115"/>
      <c r="AO40" s="113"/>
      <c r="AP40" s="113"/>
      <c r="AQ40" s="56"/>
      <c r="AR40" s="404"/>
    </row>
    <row r="41" spans="6:44" hidden="1" x14ac:dyDescent="0.25">
      <c r="F41" s="113"/>
      <c r="G41" s="113"/>
      <c r="L41" s="117"/>
      <c r="P41" s="113"/>
      <c r="Q41" s="136"/>
      <c r="R41" s="98"/>
      <c r="S41" s="118"/>
      <c r="T41" s="118"/>
      <c r="V41" s="223"/>
      <c r="X41" s="98"/>
      <c r="Z41" s="98"/>
      <c r="AA41" s="98"/>
      <c r="AB41" s="98"/>
      <c r="AC41" s="298"/>
      <c r="AD41" s="53"/>
      <c r="AE41" s="113"/>
      <c r="AF41" s="113"/>
      <c r="AG41" s="113"/>
      <c r="AH41" s="113"/>
      <c r="AI41" s="113"/>
      <c r="AM41" s="115"/>
      <c r="AO41" s="113"/>
      <c r="AP41" s="113"/>
      <c r="AQ41" s="56"/>
      <c r="AR41" s="404"/>
    </row>
    <row r="42" spans="6:44" hidden="1" x14ac:dyDescent="0.25">
      <c r="F42" s="113"/>
      <c r="G42" s="113"/>
      <c r="L42" s="117"/>
      <c r="P42" s="113"/>
      <c r="Q42" s="136"/>
      <c r="R42" s="98"/>
      <c r="S42" s="118"/>
      <c r="T42" s="118"/>
      <c r="V42" s="223"/>
      <c r="X42" s="98"/>
      <c r="Z42" s="98"/>
      <c r="AA42" s="98"/>
      <c r="AB42" s="98"/>
      <c r="AC42" s="298"/>
      <c r="AD42" s="53"/>
      <c r="AE42" s="113"/>
      <c r="AF42" s="113"/>
      <c r="AG42" s="113"/>
      <c r="AH42" s="113"/>
      <c r="AI42" s="113"/>
      <c r="AM42" s="115"/>
      <c r="AO42" s="113"/>
      <c r="AP42" s="113"/>
      <c r="AQ42" s="56"/>
      <c r="AR42" s="404"/>
    </row>
    <row r="43" spans="6:44" hidden="1" x14ac:dyDescent="0.25">
      <c r="F43" s="113"/>
      <c r="G43" s="113"/>
      <c r="L43" s="117"/>
      <c r="P43" s="113"/>
      <c r="Q43" s="136"/>
      <c r="R43" s="98"/>
      <c r="S43" s="118"/>
      <c r="T43" s="118"/>
      <c r="V43" s="223"/>
      <c r="X43" s="98"/>
      <c r="Z43" s="98"/>
      <c r="AA43" s="98"/>
      <c r="AB43" s="98"/>
      <c r="AC43" s="298"/>
      <c r="AD43" s="53"/>
      <c r="AE43" s="113"/>
      <c r="AF43" s="113"/>
      <c r="AG43" s="113"/>
      <c r="AH43" s="113"/>
      <c r="AI43" s="113"/>
      <c r="AM43" s="115"/>
      <c r="AO43" s="113"/>
      <c r="AP43" s="113"/>
      <c r="AQ43" s="56"/>
      <c r="AR43" s="404"/>
    </row>
    <row r="44" spans="6:44" hidden="1" x14ac:dyDescent="0.25">
      <c r="F44" s="113"/>
      <c r="G44" s="113"/>
      <c r="L44" s="117"/>
      <c r="P44" s="113"/>
      <c r="Q44" s="136"/>
      <c r="R44" s="98"/>
      <c r="S44" s="118"/>
      <c r="T44" s="118"/>
      <c r="V44" s="223"/>
      <c r="X44" s="98"/>
      <c r="Z44" s="98"/>
      <c r="AA44" s="98"/>
      <c r="AB44" s="98"/>
      <c r="AC44" s="298"/>
      <c r="AD44" s="53"/>
      <c r="AE44" s="113"/>
      <c r="AF44" s="113"/>
      <c r="AG44" s="113"/>
      <c r="AH44" s="113"/>
      <c r="AI44" s="113"/>
      <c r="AM44" s="115"/>
      <c r="AO44" s="113"/>
      <c r="AP44" s="113"/>
      <c r="AQ44" s="56"/>
      <c r="AR44" s="404"/>
    </row>
    <row r="45" spans="6:44" hidden="1" x14ac:dyDescent="0.25">
      <c r="F45" s="113"/>
      <c r="G45" s="113"/>
      <c r="L45" s="117"/>
      <c r="P45" s="113"/>
      <c r="Q45" s="136"/>
      <c r="R45" s="98"/>
      <c r="S45" s="118"/>
      <c r="T45" s="118"/>
      <c r="V45" s="223"/>
      <c r="X45" s="98"/>
      <c r="Z45" s="98"/>
      <c r="AA45" s="98"/>
      <c r="AB45" s="98"/>
      <c r="AC45" s="298"/>
      <c r="AD45" s="53"/>
      <c r="AE45" s="113"/>
      <c r="AF45" s="113"/>
      <c r="AG45" s="113"/>
      <c r="AH45" s="113"/>
      <c r="AI45" s="113"/>
      <c r="AM45" s="115"/>
      <c r="AO45" s="113"/>
      <c r="AP45" s="113"/>
      <c r="AQ45" s="56"/>
      <c r="AR45" s="404"/>
    </row>
    <row r="46" spans="6:44" hidden="1" x14ac:dyDescent="0.25">
      <c r="F46" s="113"/>
      <c r="G46" s="113"/>
      <c r="L46" s="117"/>
      <c r="P46" s="113"/>
      <c r="Q46" s="136"/>
      <c r="R46" s="98"/>
      <c r="S46" s="118"/>
      <c r="T46" s="118"/>
      <c r="V46" s="223"/>
      <c r="X46" s="98"/>
      <c r="Z46" s="98"/>
      <c r="AA46" s="98"/>
      <c r="AB46" s="98"/>
      <c r="AC46" s="298"/>
      <c r="AD46" s="53"/>
      <c r="AE46" s="113"/>
      <c r="AF46" s="113"/>
      <c r="AG46" s="113"/>
      <c r="AH46" s="113"/>
      <c r="AI46" s="113"/>
      <c r="AM46" s="115"/>
      <c r="AO46" s="113"/>
      <c r="AP46" s="113"/>
      <c r="AQ46" s="56"/>
      <c r="AR46" s="404"/>
    </row>
    <row r="47" spans="6:44" hidden="1" x14ac:dyDescent="0.25">
      <c r="F47" s="113"/>
      <c r="G47" s="113"/>
      <c r="L47" s="117"/>
      <c r="P47" s="113"/>
      <c r="Q47" s="136"/>
      <c r="R47" s="98"/>
      <c r="S47" s="118"/>
      <c r="T47" s="118"/>
      <c r="V47" s="223"/>
      <c r="X47" s="98"/>
      <c r="Z47" s="98"/>
      <c r="AA47" s="98"/>
      <c r="AB47" s="98"/>
      <c r="AC47" s="298"/>
      <c r="AD47" s="53"/>
      <c r="AE47" s="113"/>
      <c r="AF47" s="113"/>
      <c r="AG47" s="113"/>
      <c r="AH47" s="113"/>
      <c r="AI47" s="113"/>
      <c r="AM47" s="115"/>
      <c r="AO47" s="113"/>
      <c r="AP47" s="113"/>
      <c r="AQ47" s="56"/>
      <c r="AR47" s="404"/>
    </row>
    <row r="48" spans="6:44" hidden="1" x14ac:dyDescent="0.25">
      <c r="F48" s="113"/>
      <c r="G48" s="113"/>
      <c r="L48" s="117"/>
      <c r="P48" s="113"/>
      <c r="Q48" s="136"/>
      <c r="R48" s="98"/>
      <c r="S48" s="118"/>
      <c r="T48" s="118"/>
      <c r="V48" s="223"/>
      <c r="X48" s="98"/>
      <c r="Z48" s="98"/>
      <c r="AA48" s="98"/>
      <c r="AB48" s="98"/>
      <c r="AC48" s="298"/>
      <c r="AD48" s="53"/>
      <c r="AE48" s="113"/>
      <c r="AF48" s="113"/>
      <c r="AG48" s="113"/>
      <c r="AH48" s="113"/>
      <c r="AI48" s="113"/>
      <c r="AM48" s="115"/>
      <c r="AO48" s="113"/>
      <c r="AP48" s="113"/>
      <c r="AQ48" s="56"/>
      <c r="AR48" s="404"/>
    </row>
    <row r="49" spans="6:44" hidden="1" x14ac:dyDescent="0.25">
      <c r="F49" s="113"/>
      <c r="G49" s="113"/>
      <c r="L49" s="117"/>
      <c r="P49" s="113"/>
      <c r="Q49" s="136"/>
      <c r="R49" s="98"/>
      <c r="S49" s="118"/>
      <c r="T49" s="118"/>
      <c r="V49" s="223"/>
      <c r="X49" s="98"/>
      <c r="Z49" s="98"/>
      <c r="AA49" s="98"/>
      <c r="AB49" s="98"/>
      <c r="AC49" s="298"/>
      <c r="AD49" s="53"/>
      <c r="AE49" s="113"/>
      <c r="AF49" s="113"/>
      <c r="AG49" s="113"/>
      <c r="AH49" s="113"/>
      <c r="AI49" s="113"/>
      <c r="AM49" s="115"/>
      <c r="AO49" s="113"/>
      <c r="AP49" s="113"/>
      <c r="AQ49" s="56"/>
      <c r="AR49" s="404"/>
    </row>
    <row r="50" spans="6:44" hidden="1" x14ac:dyDescent="0.25">
      <c r="F50" s="113"/>
      <c r="G50" s="113"/>
      <c r="L50" s="117"/>
      <c r="P50" s="113"/>
      <c r="Q50" s="136"/>
      <c r="R50" s="98"/>
      <c r="S50" s="118"/>
      <c r="T50" s="118"/>
      <c r="V50" s="223"/>
      <c r="X50" s="98"/>
      <c r="Z50" s="98"/>
      <c r="AA50" s="98"/>
      <c r="AB50" s="98"/>
      <c r="AC50" s="298"/>
      <c r="AD50" s="53"/>
      <c r="AE50" s="113"/>
      <c r="AF50" s="113"/>
      <c r="AG50" s="113"/>
      <c r="AH50" s="113"/>
      <c r="AI50" s="113"/>
      <c r="AM50" s="115"/>
      <c r="AO50" s="113"/>
      <c r="AP50" s="113"/>
      <c r="AQ50" s="56"/>
      <c r="AR50" s="404"/>
    </row>
    <row r="51" spans="6:44" hidden="1" x14ac:dyDescent="0.25">
      <c r="F51" s="113"/>
      <c r="G51" s="113"/>
      <c r="L51" s="117"/>
      <c r="P51" s="113"/>
      <c r="Q51" s="136"/>
      <c r="R51" s="98"/>
      <c r="S51" s="118"/>
      <c r="T51" s="118"/>
      <c r="V51" s="223"/>
      <c r="X51" s="98"/>
      <c r="Z51" s="98"/>
      <c r="AA51" s="98"/>
      <c r="AB51" s="98"/>
      <c r="AC51" s="298"/>
      <c r="AD51" s="53"/>
      <c r="AE51" s="113"/>
      <c r="AF51" s="113"/>
      <c r="AG51" s="113"/>
      <c r="AH51" s="113"/>
      <c r="AI51" s="113"/>
      <c r="AM51" s="115"/>
      <c r="AO51" s="113"/>
      <c r="AP51" s="113"/>
      <c r="AQ51" s="56"/>
      <c r="AR51" s="404"/>
    </row>
    <row r="52" spans="6:44" hidden="1" x14ac:dyDescent="0.25">
      <c r="F52" s="113"/>
      <c r="G52" s="113"/>
      <c r="L52" s="117"/>
      <c r="P52" s="113"/>
      <c r="Q52" s="136"/>
      <c r="R52" s="98"/>
      <c r="S52" s="118"/>
      <c r="T52" s="118"/>
      <c r="V52" s="223"/>
      <c r="X52" s="98"/>
      <c r="Z52" s="98"/>
      <c r="AA52" s="98"/>
      <c r="AB52" s="98"/>
      <c r="AC52" s="298"/>
      <c r="AD52" s="53"/>
      <c r="AE52" s="113"/>
      <c r="AF52" s="113"/>
      <c r="AG52" s="113"/>
      <c r="AH52" s="113"/>
      <c r="AI52" s="113"/>
      <c r="AM52" s="115"/>
      <c r="AO52" s="113"/>
      <c r="AP52" s="113"/>
      <c r="AQ52" s="56"/>
      <c r="AR52" s="404"/>
    </row>
    <row r="53" spans="6:44" hidden="1" x14ac:dyDescent="0.25">
      <c r="F53" s="113"/>
      <c r="G53" s="113"/>
      <c r="L53" s="117"/>
      <c r="P53" s="113"/>
      <c r="Q53" s="136"/>
      <c r="R53" s="98"/>
      <c r="S53" s="118"/>
      <c r="T53" s="118"/>
      <c r="V53" s="223"/>
      <c r="X53" s="98"/>
      <c r="Z53" s="98"/>
      <c r="AA53" s="98"/>
      <c r="AB53" s="98"/>
      <c r="AC53" s="298"/>
      <c r="AD53" s="53"/>
      <c r="AE53" s="113"/>
      <c r="AF53" s="113"/>
      <c r="AG53" s="113"/>
      <c r="AH53" s="113"/>
      <c r="AI53" s="113"/>
      <c r="AM53" s="115"/>
      <c r="AO53" s="113"/>
      <c r="AP53" s="113"/>
      <c r="AQ53" s="56"/>
      <c r="AR53" s="404"/>
    </row>
    <row r="54" spans="6:44" hidden="1" x14ac:dyDescent="0.25">
      <c r="F54" s="113"/>
      <c r="G54" s="113"/>
      <c r="L54" s="117"/>
      <c r="P54" s="113"/>
      <c r="Q54" s="136"/>
      <c r="R54" s="98"/>
      <c r="S54" s="118"/>
      <c r="T54" s="118"/>
      <c r="V54" s="223"/>
      <c r="X54" s="98"/>
      <c r="Z54" s="98"/>
      <c r="AA54" s="98"/>
      <c r="AB54" s="98"/>
      <c r="AC54" s="298"/>
      <c r="AD54" s="53"/>
      <c r="AE54" s="113"/>
      <c r="AF54" s="113"/>
      <c r="AG54" s="113"/>
      <c r="AH54" s="113"/>
      <c r="AI54" s="113"/>
      <c r="AM54" s="115"/>
      <c r="AO54" s="113"/>
      <c r="AP54" s="113"/>
      <c r="AQ54" s="56"/>
      <c r="AR54" s="404"/>
    </row>
    <row r="55" spans="6:44" hidden="1" x14ac:dyDescent="0.25">
      <c r="F55" s="113"/>
      <c r="G55" s="113"/>
      <c r="L55" s="117"/>
      <c r="P55" s="113"/>
      <c r="Q55" s="136"/>
      <c r="R55" s="98"/>
      <c r="S55" s="118"/>
      <c r="T55" s="118"/>
      <c r="V55" s="223"/>
      <c r="X55" s="98"/>
      <c r="Z55" s="98"/>
      <c r="AA55" s="98"/>
      <c r="AB55" s="98"/>
      <c r="AC55" s="298"/>
      <c r="AD55" s="53"/>
      <c r="AE55" s="113"/>
      <c r="AF55" s="113"/>
      <c r="AG55" s="113"/>
      <c r="AH55" s="113"/>
      <c r="AI55" s="113"/>
      <c r="AM55" s="115"/>
      <c r="AO55" s="113"/>
      <c r="AP55" s="113"/>
      <c r="AQ55" s="56"/>
      <c r="AR55" s="404"/>
    </row>
    <row r="56" spans="6:44" hidden="1" x14ac:dyDescent="0.25">
      <c r="F56" s="113"/>
      <c r="G56" s="113"/>
      <c r="L56" s="117"/>
      <c r="P56" s="113"/>
      <c r="Q56" s="136"/>
      <c r="R56" s="98"/>
      <c r="S56" s="118"/>
      <c r="T56" s="118"/>
      <c r="V56" s="223"/>
      <c r="X56" s="98"/>
      <c r="Z56" s="98"/>
      <c r="AA56" s="98"/>
      <c r="AB56" s="98"/>
      <c r="AC56" s="298"/>
      <c r="AD56" s="53"/>
      <c r="AE56" s="113"/>
      <c r="AF56" s="113"/>
      <c r="AG56" s="113"/>
      <c r="AH56" s="113"/>
      <c r="AI56" s="113"/>
      <c r="AM56" s="115"/>
      <c r="AO56" s="113"/>
      <c r="AP56" s="113"/>
      <c r="AQ56" s="56"/>
      <c r="AR56" s="404"/>
    </row>
    <row r="57" spans="6:44" hidden="1" x14ac:dyDescent="0.25">
      <c r="F57" s="113"/>
      <c r="G57" s="113"/>
      <c r="L57" s="117"/>
      <c r="P57" s="113"/>
      <c r="Q57" s="136"/>
      <c r="R57" s="98"/>
      <c r="S57" s="118"/>
      <c r="T57" s="118"/>
      <c r="V57" s="223"/>
      <c r="X57" s="98"/>
      <c r="Z57" s="98"/>
      <c r="AA57" s="98"/>
      <c r="AB57" s="98"/>
      <c r="AC57" s="298"/>
      <c r="AD57" s="53"/>
      <c r="AE57" s="113"/>
      <c r="AF57" s="113"/>
      <c r="AG57" s="113"/>
      <c r="AH57" s="113"/>
      <c r="AI57" s="113"/>
      <c r="AM57" s="115"/>
      <c r="AO57" s="113"/>
      <c r="AP57" s="113"/>
      <c r="AQ57" s="56"/>
      <c r="AR57" s="404"/>
    </row>
    <row r="58" spans="6:44" hidden="1" x14ac:dyDescent="0.25">
      <c r="F58" s="113"/>
      <c r="G58" s="113"/>
      <c r="L58" s="117"/>
      <c r="P58" s="113"/>
      <c r="Q58" s="136"/>
      <c r="R58" s="98"/>
      <c r="S58" s="118"/>
      <c r="T58" s="118"/>
      <c r="V58" s="223"/>
      <c r="X58" s="98"/>
      <c r="Z58" s="98"/>
      <c r="AA58" s="98"/>
      <c r="AB58" s="98"/>
      <c r="AC58" s="298"/>
      <c r="AD58" s="53"/>
      <c r="AE58" s="113"/>
      <c r="AF58" s="113"/>
      <c r="AG58" s="113"/>
      <c r="AH58" s="113"/>
      <c r="AI58" s="113"/>
      <c r="AM58" s="115"/>
      <c r="AO58" s="113"/>
      <c r="AP58" s="113"/>
      <c r="AQ58" s="56"/>
      <c r="AR58" s="404"/>
    </row>
    <row r="59" spans="6:44" hidden="1" x14ac:dyDescent="0.25">
      <c r="F59" s="113"/>
      <c r="G59" s="113"/>
      <c r="L59" s="117"/>
      <c r="P59" s="113"/>
      <c r="Q59" s="136"/>
      <c r="R59" s="98"/>
      <c r="S59" s="118"/>
      <c r="T59" s="118"/>
      <c r="V59" s="223"/>
      <c r="X59" s="98"/>
      <c r="Z59" s="98"/>
      <c r="AA59" s="98"/>
      <c r="AB59" s="98"/>
      <c r="AC59" s="298"/>
      <c r="AD59" s="53"/>
      <c r="AE59" s="113"/>
      <c r="AF59" s="113"/>
      <c r="AG59" s="113"/>
      <c r="AH59" s="113"/>
      <c r="AI59" s="113"/>
      <c r="AM59" s="115"/>
      <c r="AO59" s="113"/>
      <c r="AP59" s="113"/>
      <c r="AQ59" s="56"/>
      <c r="AR59" s="404"/>
    </row>
    <row r="60" spans="6:44" hidden="1" x14ac:dyDescent="0.25">
      <c r="F60" s="113"/>
      <c r="G60" s="113"/>
      <c r="L60" s="117"/>
      <c r="P60" s="113"/>
      <c r="Q60" s="136"/>
      <c r="R60" s="98"/>
      <c r="S60" s="118"/>
      <c r="T60" s="118"/>
      <c r="V60" s="223"/>
      <c r="X60" s="98"/>
      <c r="Z60" s="98"/>
      <c r="AA60" s="98"/>
      <c r="AB60" s="98"/>
      <c r="AC60" s="298"/>
      <c r="AD60" s="53"/>
      <c r="AE60" s="113"/>
      <c r="AF60" s="113"/>
      <c r="AG60" s="113"/>
      <c r="AH60" s="113"/>
      <c r="AI60" s="113"/>
      <c r="AM60" s="115"/>
      <c r="AO60" s="113"/>
      <c r="AP60" s="113"/>
      <c r="AQ60" s="56"/>
      <c r="AR60" s="404"/>
    </row>
    <row r="61" spans="6:44" hidden="1" x14ac:dyDescent="0.25">
      <c r="F61" s="113"/>
      <c r="G61" s="113"/>
      <c r="L61" s="117"/>
      <c r="P61" s="113"/>
      <c r="Q61" s="136"/>
      <c r="R61" s="98"/>
      <c r="S61" s="118"/>
      <c r="T61" s="118"/>
      <c r="V61" s="223"/>
      <c r="X61" s="98"/>
      <c r="Z61" s="98"/>
      <c r="AA61" s="98"/>
      <c r="AB61" s="98"/>
      <c r="AC61" s="298"/>
      <c r="AD61" s="53"/>
      <c r="AE61" s="113"/>
      <c r="AF61" s="113"/>
      <c r="AG61" s="113"/>
      <c r="AH61" s="113"/>
      <c r="AI61" s="113"/>
      <c r="AM61" s="115"/>
      <c r="AO61" s="113"/>
      <c r="AP61" s="113"/>
      <c r="AQ61" s="56"/>
      <c r="AR61" s="404"/>
    </row>
    <row r="62" spans="6:44" hidden="1" x14ac:dyDescent="0.25">
      <c r="F62" s="113"/>
      <c r="G62" s="113"/>
      <c r="L62" s="117"/>
      <c r="P62" s="113"/>
      <c r="Q62" s="136"/>
      <c r="R62" s="98"/>
      <c r="S62" s="118"/>
      <c r="T62" s="118"/>
      <c r="V62" s="223"/>
      <c r="X62" s="98"/>
      <c r="Z62" s="98"/>
      <c r="AA62" s="98"/>
      <c r="AB62" s="98"/>
      <c r="AC62" s="298"/>
      <c r="AD62" s="53"/>
      <c r="AE62" s="113"/>
      <c r="AF62" s="113"/>
      <c r="AG62" s="113"/>
      <c r="AH62" s="113"/>
      <c r="AI62" s="113"/>
      <c r="AM62" s="115"/>
      <c r="AO62" s="113"/>
      <c r="AP62" s="113"/>
      <c r="AQ62" s="56"/>
      <c r="AR62" s="404"/>
    </row>
    <row r="63" spans="6:44" hidden="1" x14ac:dyDescent="0.25">
      <c r="F63" s="113"/>
      <c r="G63" s="113"/>
      <c r="L63" s="117"/>
      <c r="P63" s="113"/>
      <c r="Q63" s="136"/>
      <c r="R63" s="98"/>
      <c r="S63" s="118"/>
      <c r="T63" s="118"/>
      <c r="V63" s="223"/>
      <c r="X63" s="98"/>
      <c r="Z63" s="98"/>
      <c r="AA63" s="98"/>
      <c r="AB63" s="98"/>
      <c r="AC63" s="298"/>
      <c r="AD63" s="53"/>
      <c r="AE63" s="113"/>
      <c r="AF63" s="113"/>
      <c r="AG63" s="113"/>
      <c r="AH63" s="113"/>
      <c r="AI63" s="113"/>
      <c r="AM63" s="115"/>
      <c r="AO63" s="113"/>
      <c r="AP63" s="113"/>
      <c r="AQ63" s="56"/>
      <c r="AR63" s="404"/>
    </row>
    <row r="64" spans="6:44" hidden="1" x14ac:dyDescent="0.25">
      <c r="F64" s="113"/>
      <c r="G64" s="113"/>
      <c r="L64" s="117"/>
      <c r="P64" s="113"/>
      <c r="Q64" s="136"/>
      <c r="R64" s="98"/>
      <c r="S64" s="118"/>
      <c r="T64" s="118"/>
      <c r="V64" s="223"/>
      <c r="X64" s="98"/>
      <c r="Z64" s="98"/>
      <c r="AA64" s="98"/>
      <c r="AB64" s="98"/>
      <c r="AC64" s="298"/>
      <c r="AD64" s="53"/>
      <c r="AE64" s="113"/>
      <c r="AF64" s="113"/>
      <c r="AG64" s="113"/>
      <c r="AH64" s="113"/>
      <c r="AI64" s="113"/>
      <c r="AM64" s="115"/>
      <c r="AO64" s="113"/>
      <c r="AP64" s="113"/>
      <c r="AQ64" s="56"/>
      <c r="AR64" s="404"/>
    </row>
    <row r="65" spans="6:44" hidden="1" x14ac:dyDescent="0.25">
      <c r="F65" s="113"/>
      <c r="G65" s="113"/>
      <c r="L65" s="117"/>
      <c r="P65" s="113"/>
      <c r="Q65" s="136"/>
      <c r="R65" s="98"/>
      <c r="S65" s="118"/>
      <c r="T65" s="118"/>
      <c r="V65" s="223"/>
      <c r="X65" s="98"/>
      <c r="Z65" s="98"/>
      <c r="AA65" s="98"/>
      <c r="AB65" s="98"/>
      <c r="AC65" s="298"/>
      <c r="AD65" s="53"/>
      <c r="AE65" s="113"/>
      <c r="AF65" s="113"/>
      <c r="AG65" s="113"/>
      <c r="AH65" s="113"/>
      <c r="AI65" s="113"/>
      <c r="AM65" s="115"/>
      <c r="AO65" s="113"/>
      <c r="AP65" s="113"/>
      <c r="AQ65" s="56"/>
      <c r="AR65" s="404"/>
    </row>
    <row r="66" spans="6:44" hidden="1" x14ac:dyDescent="0.25">
      <c r="F66" s="113"/>
      <c r="G66" s="113"/>
      <c r="L66" s="117"/>
      <c r="P66" s="113"/>
      <c r="Q66" s="136"/>
      <c r="R66" s="98"/>
      <c r="S66" s="118"/>
      <c r="T66" s="118"/>
      <c r="V66" s="223"/>
      <c r="X66" s="98"/>
      <c r="Z66" s="98"/>
      <c r="AA66" s="98"/>
      <c r="AB66" s="98"/>
      <c r="AC66" s="298"/>
      <c r="AD66" s="53"/>
      <c r="AE66" s="113"/>
      <c r="AF66" s="113"/>
      <c r="AG66" s="113"/>
      <c r="AH66" s="113"/>
      <c r="AI66" s="113"/>
      <c r="AM66" s="115"/>
      <c r="AO66" s="113"/>
      <c r="AP66" s="113"/>
      <c r="AQ66" s="56"/>
      <c r="AR66" s="404"/>
    </row>
    <row r="67" spans="6:44" hidden="1" x14ac:dyDescent="0.25">
      <c r="F67" s="113"/>
      <c r="G67" s="113"/>
      <c r="L67" s="117"/>
      <c r="P67" s="113"/>
      <c r="Q67" s="136"/>
      <c r="R67" s="98"/>
      <c r="S67" s="118"/>
      <c r="T67" s="118"/>
      <c r="V67" s="223"/>
      <c r="X67" s="98"/>
      <c r="Z67" s="98"/>
      <c r="AA67" s="98"/>
      <c r="AB67" s="98"/>
      <c r="AC67" s="298"/>
      <c r="AD67" s="53"/>
      <c r="AE67" s="113"/>
      <c r="AF67" s="113"/>
      <c r="AG67" s="113"/>
      <c r="AH67" s="113"/>
      <c r="AI67" s="113"/>
      <c r="AM67" s="115"/>
      <c r="AO67" s="113"/>
      <c r="AP67" s="113"/>
      <c r="AQ67" s="56"/>
      <c r="AR67" s="404"/>
    </row>
    <row r="68" spans="6:44" hidden="1" x14ac:dyDescent="0.25">
      <c r="F68" s="113"/>
      <c r="G68" s="113"/>
      <c r="L68" s="117"/>
      <c r="P68" s="113"/>
      <c r="Q68" s="136"/>
      <c r="R68" s="98"/>
      <c r="S68" s="118"/>
      <c r="T68" s="118"/>
      <c r="V68" s="223"/>
      <c r="X68" s="98"/>
      <c r="Z68" s="98"/>
      <c r="AA68" s="98"/>
      <c r="AB68" s="98"/>
      <c r="AC68" s="298"/>
      <c r="AD68" s="53"/>
      <c r="AE68" s="113"/>
      <c r="AF68" s="113"/>
      <c r="AG68" s="113"/>
      <c r="AH68" s="113"/>
      <c r="AI68" s="113"/>
      <c r="AM68" s="115"/>
      <c r="AO68" s="113"/>
      <c r="AP68" s="113"/>
      <c r="AQ68" s="56"/>
      <c r="AR68" s="404"/>
    </row>
    <row r="69" spans="6:44" hidden="1" x14ac:dyDescent="0.25">
      <c r="F69" s="113"/>
      <c r="G69" s="113"/>
      <c r="L69" s="117"/>
      <c r="P69" s="113"/>
      <c r="Q69" s="136"/>
      <c r="R69" s="98"/>
      <c r="S69" s="118"/>
      <c r="T69" s="118"/>
      <c r="V69" s="223"/>
      <c r="X69" s="98"/>
      <c r="Z69" s="98"/>
      <c r="AA69" s="98"/>
      <c r="AB69" s="98"/>
      <c r="AC69" s="298"/>
      <c r="AD69" s="53"/>
      <c r="AE69" s="113"/>
      <c r="AF69" s="113"/>
      <c r="AG69" s="113"/>
      <c r="AH69" s="113"/>
      <c r="AI69" s="113"/>
      <c r="AM69" s="115"/>
      <c r="AO69" s="113"/>
      <c r="AP69" s="113"/>
      <c r="AQ69" s="56"/>
      <c r="AR69" s="404"/>
    </row>
    <row r="70" spans="6:44" hidden="1" x14ac:dyDescent="0.25">
      <c r="F70" s="113"/>
      <c r="G70" s="113"/>
      <c r="L70" s="117"/>
      <c r="P70" s="113"/>
      <c r="Q70" s="136"/>
      <c r="R70" s="98"/>
      <c r="S70" s="118"/>
      <c r="T70" s="118"/>
      <c r="V70" s="223"/>
      <c r="X70" s="98"/>
      <c r="Z70" s="98"/>
      <c r="AA70" s="98"/>
      <c r="AB70" s="98"/>
      <c r="AC70" s="298"/>
      <c r="AD70" s="53"/>
      <c r="AE70" s="113"/>
      <c r="AF70" s="113"/>
      <c r="AG70" s="113"/>
      <c r="AH70" s="113"/>
      <c r="AI70" s="113"/>
      <c r="AM70" s="115"/>
      <c r="AO70" s="113"/>
      <c r="AP70" s="113"/>
      <c r="AQ70" s="56"/>
      <c r="AR70" s="404"/>
    </row>
    <row r="71" spans="6:44" hidden="1" x14ac:dyDescent="0.25">
      <c r="F71" s="113"/>
      <c r="G71" s="113"/>
      <c r="L71" s="117"/>
      <c r="P71" s="113"/>
      <c r="Q71" s="136"/>
      <c r="R71" s="98"/>
      <c r="S71" s="118"/>
      <c r="T71" s="118"/>
      <c r="V71" s="223"/>
      <c r="X71" s="98"/>
      <c r="Z71" s="98"/>
      <c r="AA71" s="98"/>
      <c r="AB71" s="98"/>
      <c r="AC71" s="298"/>
      <c r="AD71" s="53"/>
      <c r="AE71" s="113"/>
      <c r="AF71" s="113"/>
      <c r="AG71" s="113"/>
      <c r="AH71" s="113"/>
      <c r="AI71" s="113"/>
      <c r="AM71" s="115"/>
      <c r="AO71" s="113"/>
      <c r="AP71" s="113"/>
      <c r="AQ71" s="56"/>
      <c r="AR71" s="404"/>
    </row>
    <row r="72" spans="6:44" hidden="1" x14ac:dyDescent="0.25">
      <c r="F72" s="113"/>
      <c r="G72" s="113"/>
      <c r="L72" s="117"/>
      <c r="P72" s="113"/>
      <c r="Q72" s="136"/>
      <c r="R72" s="98"/>
      <c r="S72" s="118"/>
      <c r="T72" s="118"/>
      <c r="V72" s="223"/>
      <c r="X72" s="98"/>
      <c r="Z72" s="98"/>
      <c r="AA72" s="98"/>
      <c r="AB72" s="98"/>
      <c r="AC72" s="298"/>
      <c r="AD72" s="53"/>
      <c r="AE72" s="113"/>
      <c r="AF72" s="113"/>
      <c r="AG72" s="113"/>
      <c r="AH72" s="113"/>
      <c r="AI72" s="113"/>
      <c r="AM72" s="115"/>
      <c r="AO72" s="113"/>
      <c r="AP72" s="113"/>
      <c r="AQ72" s="56"/>
      <c r="AR72" s="404"/>
    </row>
    <row r="73" spans="6:44" hidden="1" x14ac:dyDescent="0.25">
      <c r="F73" s="113"/>
      <c r="G73" s="113"/>
      <c r="L73" s="117"/>
      <c r="P73" s="113"/>
      <c r="Q73" s="136"/>
      <c r="R73" s="98"/>
      <c r="S73" s="118"/>
      <c r="T73" s="118"/>
      <c r="V73" s="223"/>
      <c r="X73" s="98"/>
      <c r="Z73" s="98"/>
      <c r="AA73" s="98"/>
      <c r="AB73" s="98"/>
      <c r="AC73" s="298"/>
      <c r="AD73" s="53"/>
      <c r="AE73" s="113"/>
      <c r="AF73" s="113"/>
      <c r="AG73" s="113"/>
      <c r="AH73" s="113"/>
      <c r="AI73" s="113"/>
      <c r="AM73" s="115"/>
      <c r="AO73" s="113"/>
      <c r="AP73" s="113"/>
      <c r="AQ73" s="56"/>
      <c r="AR73" s="404"/>
    </row>
    <row r="74" spans="6:44" hidden="1" x14ac:dyDescent="0.25">
      <c r="F74" s="113"/>
      <c r="G74" s="113"/>
      <c r="L74" s="117"/>
      <c r="P74" s="113"/>
      <c r="Q74" s="136"/>
      <c r="R74" s="98"/>
      <c r="S74" s="118"/>
      <c r="T74" s="118"/>
      <c r="V74" s="223"/>
      <c r="X74" s="98"/>
      <c r="Z74" s="98"/>
      <c r="AA74" s="98"/>
      <c r="AB74" s="98"/>
      <c r="AC74" s="298"/>
      <c r="AD74" s="53"/>
      <c r="AE74" s="113"/>
      <c r="AF74" s="113"/>
      <c r="AG74" s="113"/>
      <c r="AH74" s="113"/>
      <c r="AI74" s="113"/>
      <c r="AM74" s="115"/>
      <c r="AO74" s="113"/>
      <c r="AP74" s="113"/>
      <c r="AQ74" s="56"/>
      <c r="AR74" s="404"/>
    </row>
    <row r="75" spans="6:44" hidden="1" x14ac:dyDescent="0.25">
      <c r="F75" s="113"/>
      <c r="G75" s="113"/>
      <c r="L75" s="117"/>
      <c r="P75" s="113"/>
      <c r="Q75" s="136"/>
      <c r="R75" s="98"/>
      <c r="S75" s="118"/>
      <c r="T75" s="118"/>
      <c r="V75" s="223"/>
      <c r="X75" s="98"/>
      <c r="Z75" s="98"/>
      <c r="AA75" s="98"/>
      <c r="AB75" s="98"/>
      <c r="AC75" s="298"/>
      <c r="AD75" s="53"/>
      <c r="AE75" s="113"/>
      <c r="AF75" s="113"/>
      <c r="AG75" s="113"/>
      <c r="AH75" s="113"/>
      <c r="AI75" s="113"/>
      <c r="AM75" s="115"/>
      <c r="AO75" s="113"/>
      <c r="AP75" s="113"/>
      <c r="AQ75" s="56"/>
      <c r="AR75" s="404"/>
    </row>
    <row r="76" spans="6:44" hidden="1" x14ac:dyDescent="0.25">
      <c r="F76" s="113"/>
      <c r="G76" s="113"/>
      <c r="L76" s="117"/>
      <c r="P76" s="113"/>
      <c r="Q76" s="136"/>
      <c r="R76" s="98"/>
      <c r="S76" s="118"/>
      <c r="T76" s="118"/>
      <c r="V76" s="223"/>
      <c r="X76" s="98"/>
      <c r="Z76" s="98"/>
      <c r="AA76" s="98"/>
      <c r="AB76" s="98"/>
      <c r="AC76" s="298"/>
      <c r="AD76" s="53"/>
      <c r="AE76" s="113"/>
      <c r="AF76" s="113"/>
      <c r="AG76" s="113"/>
      <c r="AH76" s="113"/>
      <c r="AI76" s="113"/>
      <c r="AM76" s="115"/>
      <c r="AO76" s="113"/>
      <c r="AP76" s="113"/>
      <c r="AQ76" s="56"/>
      <c r="AR76" s="404"/>
    </row>
    <row r="77" spans="6:44" hidden="1" x14ac:dyDescent="0.25">
      <c r="F77" s="113"/>
      <c r="G77" s="113"/>
      <c r="L77" s="117"/>
      <c r="P77" s="113"/>
      <c r="Q77" s="136"/>
      <c r="R77" s="98"/>
      <c r="S77" s="118"/>
      <c r="T77" s="118"/>
      <c r="V77" s="223"/>
      <c r="X77" s="98"/>
      <c r="Z77" s="98"/>
      <c r="AA77" s="98"/>
      <c r="AB77" s="98"/>
      <c r="AC77" s="298"/>
      <c r="AD77" s="53"/>
      <c r="AE77" s="113"/>
      <c r="AF77" s="113"/>
      <c r="AG77" s="113"/>
      <c r="AH77" s="113"/>
      <c r="AI77" s="113"/>
      <c r="AM77" s="115"/>
      <c r="AO77" s="113"/>
      <c r="AP77" s="113"/>
      <c r="AQ77" s="56"/>
      <c r="AR77" s="404"/>
    </row>
    <row r="78" spans="6:44" hidden="1" x14ac:dyDescent="0.25">
      <c r="F78" s="113"/>
      <c r="G78" s="113"/>
      <c r="L78" s="117"/>
      <c r="P78" s="113"/>
      <c r="Q78" s="136"/>
      <c r="R78" s="98"/>
      <c r="S78" s="118"/>
      <c r="T78" s="118"/>
      <c r="V78" s="223"/>
      <c r="X78" s="98"/>
      <c r="Z78" s="98"/>
      <c r="AA78" s="98"/>
      <c r="AB78" s="98"/>
      <c r="AC78" s="298"/>
      <c r="AD78" s="53"/>
      <c r="AE78" s="113"/>
      <c r="AF78" s="113"/>
      <c r="AG78" s="113"/>
      <c r="AH78" s="113"/>
      <c r="AI78" s="113"/>
      <c r="AM78" s="115"/>
      <c r="AO78" s="113"/>
      <c r="AP78" s="113"/>
      <c r="AQ78" s="56"/>
      <c r="AR78" s="404"/>
    </row>
    <row r="79" spans="6:44" hidden="1" x14ac:dyDescent="0.25">
      <c r="F79" s="113"/>
      <c r="G79" s="113"/>
      <c r="L79" s="117"/>
      <c r="P79" s="113"/>
      <c r="Q79" s="136"/>
      <c r="R79" s="98"/>
      <c r="S79" s="118"/>
      <c r="T79" s="118"/>
      <c r="V79" s="223"/>
      <c r="X79" s="98"/>
      <c r="Z79" s="98"/>
      <c r="AA79" s="98"/>
      <c r="AB79" s="98"/>
      <c r="AC79" s="298"/>
      <c r="AD79" s="53"/>
      <c r="AE79" s="113"/>
      <c r="AF79" s="113"/>
      <c r="AG79" s="113"/>
      <c r="AH79" s="113"/>
      <c r="AI79" s="113"/>
      <c r="AM79" s="115"/>
      <c r="AO79" s="113"/>
      <c r="AP79" s="113"/>
      <c r="AQ79" s="56"/>
      <c r="AR79" s="404"/>
    </row>
    <row r="80" spans="6:44" hidden="1" x14ac:dyDescent="0.25">
      <c r="F80" s="113"/>
      <c r="G80" s="113"/>
      <c r="L80" s="117"/>
      <c r="P80" s="113"/>
      <c r="Q80" s="136"/>
      <c r="R80" s="98"/>
      <c r="S80" s="118"/>
      <c r="T80" s="118"/>
      <c r="V80" s="223"/>
      <c r="X80" s="98"/>
      <c r="Z80" s="98"/>
      <c r="AA80" s="98"/>
      <c r="AB80" s="98"/>
      <c r="AC80" s="298"/>
      <c r="AD80" s="53"/>
      <c r="AE80" s="113"/>
      <c r="AF80" s="113"/>
      <c r="AG80" s="113"/>
      <c r="AH80" s="113"/>
      <c r="AI80" s="113"/>
      <c r="AM80" s="115"/>
      <c r="AO80" s="113"/>
      <c r="AP80" s="113"/>
      <c r="AQ80" s="56"/>
      <c r="AR80" s="404"/>
    </row>
    <row r="81" spans="6:44" hidden="1" x14ac:dyDescent="0.25">
      <c r="F81" s="113"/>
      <c r="G81" s="113"/>
      <c r="L81" s="117"/>
      <c r="P81" s="113"/>
      <c r="Q81" s="136"/>
      <c r="R81" s="98"/>
      <c r="S81" s="118"/>
      <c r="T81" s="118"/>
      <c r="V81" s="223"/>
      <c r="X81" s="98"/>
      <c r="Z81" s="98"/>
      <c r="AA81" s="98"/>
      <c r="AB81" s="98"/>
      <c r="AC81" s="298"/>
      <c r="AD81" s="53"/>
      <c r="AE81" s="113"/>
      <c r="AF81" s="113"/>
      <c r="AG81" s="113"/>
      <c r="AH81" s="113"/>
      <c r="AI81" s="113"/>
      <c r="AM81" s="115"/>
      <c r="AO81" s="113"/>
      <c r="AP81" s="113"/>
      <c r="AQ81" s="56"/>
      <c r="AR81" s="404"/>
    </row>
    <row r="82" spans="6:44" hidden="1" x14ac:dyDescent="0.25">
      <c r="F82" s="113"/>
      <c r="G82" s="113"/>
      <c r="L82" s="117"/>
      <c r="P82" s="113"/>
      <c r="Q82" s="136"/>
      <c r="R82" s="98"/>
      <c r="S82" s="118"/>
      <c r="T82" s="118"/>
      <c r="V82" s="223"/>
      <c r="X82" s="98"/>
      <c r="Z82" s="98"/>
      <c r="AA82" s="98"/>
      <c r="AB82" s="98"/>
      <c r="AC82" s="298"/>
      <c r="AD82" s="53"/>
      <c r="AE82" s="113"/>
      <c r="AF82" s="113"/>
      <c r="AG82" s="113"/>
      <c r="AH82" s="113"/>
      <c r="AI82" s="113"/>
      <c r="AM82" s="115"/>
      <c r="AO82" s="113"/>
      <c r="AP82" s="113"/>
      <c r="AQ82" s="56"/>
      <c r="AR82" s="404"/>
    </row>
    <row r="83" spans="6:44" hidden="1" x14ac:dyDescent="0.25">
      <c r="F83" s="113"/>
      <c r="G83" s="113"/>
      <c r="L83" s="117"/>
      <c r="P83" s="113"/>
      <c r="Q83" s="136"/>
      <c r="R83" s="98"/>
      <c r="S83" s="118"/>
      <c r="T83" s="118"/>
      <c r="V83" s="223"/>
      <c r="X83" s="98"/>
      <c r="Z83" s="98"/>
      <c r="AA83" s="98"/>
      <c r="AB83" s="98"/>
      <c r="AC83" s="298"/>
      <c r="AD83" s="53"/>
      <c r="AE83" s="113"/>
      <c r="AF83" s="113"/>
      <c r="AG83" s="113"/>
      <c r="AH83" s="113"/>
      <c r="AI83" s="113"/>
      <c r="AM83" s="115"/>
      <c r="AO83" s="113"/>
      <c r="AP83" s="113"/>
      <c r="AQ83" s="56"/>
      <c r="AR83" s="404"/>
    </row>
    <row r="84" spans="6:44" hidden="1" x14ac:dyDescent="0.25">
      <c r="F84" s="113"/>
      <c r="G84" s="113"/>
      <c r="L84" s="117"/>
      <c r="P84" s="113"/>
      <c r="Q84" s="136"/>
      <c r="R84" s="98"/>
      <c r="S84" s="118"/>
      <c r="T84" s="118"/>
      <c r="V84" s="223"/>
      <c r="X84" s="98"/>
      <c r="Z84" s="98"/>
      <c r="AA84" s="98"/>
      <c r="AB84" s="98"/>
      <c r="AC84" s="298"/>
      <c r="AD84" s="53"/>
      <c r="AE84" s="113"/>
      <c r="AF84" s="113"/>
      <c r="AG84" s="113"/>
      <c r="AH84" s="113"/>
      <c r="AI84" s="113"/>
      <c r="AM84" s="115"/>
      <c r="AO84" s="113"/>
      <c r="AP84" s="113"/>
      <c r="AQ84" s="56"/>
      <c r="AR84" s="404"/>
    </row>
    <row r="85" spans="6:44" hidden="1" x14ac:dyDescent="0.25">
      <c r="F85" s="113"/>
      <c r="G85" s="113"/>
      <c r="L85" s="117"/>
      <c r="P85" s="113"/>
      <c r="Q85" s="136"/>
      <c r="R85" s="98"/>
      <c r="S85" s="118"/>
      <c r="T85" s="118"/>
      <c r="V85" s="223"/>
      <c r="X85" s="98"/>
      <c r="Z85" s="98"/>
      <c r="AA85" s="98"/>
      <c r="AB85" s="98"/>
      <c r="AC85" s="298"/>
      <c r="AD85" s="53"/>
      <c r="AE85" s="113"/>
      <c r="AF85" s="113"/>
      <c r="AG85" s="113"/>
      <c r="AH85" s="113"/>
      <c r="AI85" s="113"/>
      <c r="AM85" s="115"/>
      <c r="AO85" s="113"/>
      <c r="AP85" s="113"/>
      <c r="AQ85" s="56"/>
      <c r="AR85" s="404"/>
    </row>
    <row r="86" spans="6:44" hidden="1" x14ac:dyDescent="0.25">
      <c r="F86" s="113"/>
      <c r="G86" s="113"/>
      <c r="L86" s="117"/>
      <c r="P86" s="113"/>
      <c r="Q86" s="136"/>
      <c r="R86" s="98"/>
      <c r="S86" s="118"/>
      <c r="T86" s="118"/>
      <c r="V86" s="223"/>
      <c r="X86" s="98"/>
      <c r="Z86" s="98"/>
      <c r="AA86" s="98"/>
      <c r="AB86" s="98"/>
      <c r="AC86" s="298"/>
      <c r="AD86" s="53"/>
      <c r="AE86" s="113"/>
      <c r="AF86" s="113"/>
      <c r="AG86" s="113"/>
      <c r="AH86" s="113"/>
      <c r="AI86" s="113"/>
      <c r="AM86" s="115"/>
      <c r="AO86" s="113"/>
      <c r="AP86" s="113"/>
      <c r="AQ86" s="56"/>
      <c r="AR86" s="404"/>
    </row>
    <row r="87" spans="6:44" hidden="1" x14ac:dyDescent="0.25">
      <c r="F87" s="113"/>
      <c r="G87" s="113"/>
      <c r="L87" s="117"/>
      <c r="P87" s="113"/>
      <c r="Q87" s="136"/>
      <c r="R87" s="98"/>
      <c r="S87" s="118"/>
      <c r="T87" s="118"/>
      <c r="V87" s="223"/>
      <c r="X87" s="98"/>
      <c r="Z87" s="98"/>
      <c r="AA87" s="98"/>
      <c r="AB87" s="98"/>
      <c r="AC87" s="298"/>
      <c r="AD87" s="53"/>
      <c r="AE87" s="113"/>
      <c r="AF87" s="113"/>
      <c r="AG87" s="113"/>
      <c r="AH87" s="113"/>
      <c r="AI87" s="113"/>
      <c r="AM87" s="115"/>
      <c r="AO87" s="113"/>
      <c r="AP87" s="113"/>
      <c r="AQ87" s="56"/>
      <c r="AR87" s="404"/>
    </row>
    <row r="88" spans="6:44" hidden="1" x14ac:dyDescent="0.25">
      <c r="F88" s="113"/>
      <c r="G88" s="113"/>
      <c r="L88" s="117"/>
      <c r="P88" s="113"/>
      <c r="Q88" s="136"/>
      <c r="R88" s="98"/>
      <c r="S88" s="118"/>
      <c r="T88" s="118"/>
      <c r="V88" s="223"/>
      <c r="X88" s="98"/>
      <c r="Z88" s="98"/>
      <c r="AA88" s="98"/>
      <c r="AB88" s="98"/>
      <c r="AC88" s="298"/>
      <c r="AD88" s="53"/>
      <c r="AE88" s="113"/>
      <c r="AF88" s="113"/>
      <c r="AG88" s="113"/>
      <c r="AH88" s="113"/>
      <c r="AI88" s="113"/>
      <c r="AM88" s="115"/>
      <c r="AO88" s="113"/>
      <c r="AP88" s="113"/>
      <c r="AQ88" s="56"/>
      <c r="AR88" s="404"/>
    </row>
    <row r="89" spans="6:44" hidden="1" x14ac:dyDescent="0.25">
      <c r="F89" s="113"/>
      <c r="G89" s="113"/>
      <c r="L89" s="117"/>
      <c r="P89" s="113"/>
      <c r="Q89" s="136"/>
      <c r="R89" s="98"/>
      <c r="S89" s="118"/>
      <c r="T89" s="118"/>
      <c r="V89" s="223"/>
      <c r="X89" s="98"/>
      <c r="Z89" s="98"/>
      <c r="AA89" s="98"/>
      <c r="AB89" s="98"/>
      <c r="AC89" s="298"/>
      <c r="AD89" s="53"/>
      <c r="AE89" s="113"/>
      <c r="AF89" s="113"/>
      <c r="AG89" s="113"/>
      <c r="AH89" s="113"/>
      <c r="AI89" s="113"/>
      <c r="AM89" s="115"/>
      <c r="AO89" s="113"/>
      <c r="AP89" s="113"/>
      <c r="AQ89" s="56"/>
      <c r="AR89" s="404"/>
    </row>
    <row r="90" spans="6:44" hidden="1" x14ac:dyDescent="0.25">
      <c r="F90" s="113"/>
      <c r="G90" s="113"/>
      <c r="L90" s="117"/>
      <c r="P90" s="113"/>
      <c r="Q90" s="136"/>
      <c r="R90" s="98"/>
      <c r="S90" s="118"/>
      <c r="T90" s="118"/>
      <c r="V90" s="223"/>
      <c r="X90" s="98"/>
      <c r="Z90" s="98"/>
      <c r="AA90" s="98"/>
      <c r="AB90" s="98"/>
      <c r="AC90" s="298"/>
      <c r="AD90" s="53"/>
      <c r="AE90" s="113"/>
      <c r="AF90" s="113"/>
      <c r="AG90" s="113"/>
      <c r="AH90" s="113"/>
      <c r="AI90" s="113"/>
      <c r="AM90" s="115"/>
      <c r="AO90" s="113"/>
      <c r="AP90" s="113"/>
      <c r="AQ90" s="56"/>
      <c r="AR90" s="404"/>
    </row>
    <row r="91" spans="6:44" hidden="1" x14ac:dyDescent="0.25">
      <c r="F91" s="113"/>
      <c r="G91" s="113"/>
      <c r="L91" s="117"/>
      <c r="P91" s="113"/>
      <c r="Q91" s="136"/>
      <c r="R91" s="98"/>
      <c r="S91" s="118"/>
      <c r="T91" s="118"/>
      <c r="V91" s="223"/>
      <c r="X91" s="98"/>
      <c r="Z91" s="98"/>
      <c r="AA91" s="98"/>
      <c r="AB91" s="98"/>
      <c r="AC91" s="298"/>
      <c r="AD91" s="53"/>
      <c r="AE91" s="113"/>
      <c r="AF91" s="113"/>
      <c r="AG91" s="113"/>
      <c r="AH91" s="113"/>
      <c r="AI91" s="113"/>
      <c r="AM91" s="115"/>
      <c r="AO91" s="113"/>
      <c r="AP91" s="113"/>
      <c r="AQ91" s="56"/>
      <c r="AR91" s="404"/>
    </row>
    <row r="92" spans="6:44" hidden="1" x14ac:dyDescent="0.25">
      <c r="F92" s="113"/>
      <c r="G92" s="113"/>
      <c r="L92" s="117"/>
      <c r="P92" s="113"/>
      <c r="Q92" s="136"/>
      <c r="R92" s="98"/>
      <c r="S92" s="118"/>
      <c r="T92" s="118"/>
      <c r="V92" s="223"/>
      <c r="X92" s="98"/>
      <c r="Z92" s="98"/>
      <c r="AA92" s="98"/>
      <c r="AB92" s="98"/>
      <c r="AC92" s="298"/>
      <c r="AD92" s="53"/>
      <c r="AE92" s="113"/>
      <c r="AF92" s="113"/>
      <c r="AG92" s="113"/>
      <c r="AH92" s="113"/>
      <c r="AI92" s="113"/>
      <c r="AM92" s="115"/>
      <c r="AO92" s="113"/>
      <c r="AP92" s="113"/>
      <c r="AQ92" s="56"/>
      <c r="AR92" s="404"/>
    </row>
    <row r="93" spans="6:44" hidden="1" x14ac:dyDescent="0.25">
      <c r="F93" s="113"/>
      <c r="G93" s="113"/>
      <c r="L93" s="117"/>
      <c r="P93" s="113"/>
      <c r="Q93" s="136"/>
      <c r="R93" s="98"/>
      <c r="S93" s="118"/>
      <c r="T93" s="118"/>
      <c r="V93" s="223"/>
      <c r="X93" s="98"/>
      <c r="Z93" s="98"/>
      <c r="AA93" s="98"/>
      <c r="AB93" s="98"/>
      <c r="AC93" s="298"/>
      <c r="AD93" s="53"/>
      <c r="AE93" s="113"/>
      <c r="AF93" s="113"/>
      <c r="AG93" s="113"/>
      <c r="AH93" s="113"/>
      <c r="AI93" s="113"/>
      <c r="AM93" s="115"/>
      <c r="AO93" s="113"/>
      <c r="AP93" s="113"/>
      <c r="AQ93" s="56"/>
      <c r="AR93" s="404"/>
    </row>
    <row r="94" spans="6:44" hidden="1" x14ac:dyDescent="0.25">
      <c r="F94" s="113"/>
      <c r="G94" s="113"/>
      <c r="L94" s="117"/>
      <c r="P94" s="113"/>
      <c r="Q94" s="136"/>
      <c r="R94" s="98"/>
      <c r="S94" s="118"/>
      <c r="T94" s="118"/>
      <c r="V94" s="223"/>
      <c r="X94" s="98"/>
      <c r="Z94" s="98"/>
      <c r="AA94" s="98"/>
      <c r="AB94" s="98"/>
      <c r="AC94" s="298"/>
      <c r="AD94" s="53"/>
      <c r="AE94" s="113"/>
      <c r="AF94" s="113"/>
      <c r="AG94" s="113"/>
      <c r="AH94" s="113"/>
      <c r="AI94" s="113"/>
      <c r="AM94" s="115"/>
      <c r="AO94" s="113"/>
      <c r="AP94" s="113"/>
      <c r="AQ94" s="56"/>
      <c r="AR94" s="404"/>
    </row>
    <row r="95" spans="6:44" hidden="1" x14ac:dyDescent="0.25">
      <c r="F95" s="113"/>
      <c r="G95" s="113"/>
      <c r="L95" s="117"/>
      <c r="P95" s="113"/>
      <c r="Q95" s="136"/>
      <c r="R95" s="98"/>
      <c r="S95" s="118"/>
      <c r="T95" s="118"/>
      <c r="V95" s="223"/>
      <c r="X95" s="98"/>
      <c r="Z95" s="98"/>
      <c r="AA95" s="98"/>
      <c r="AB95" s="98"/>
      <c r="AC95" s="298"/>
      <c r="AD95" s="53"/>
      <c r="AE95" s="113"/>
      <c r="AF95" s="113"/>
      <c r="AG95" s="113"/>
      <c r="AH95" s="113"/>
      <c r="AI95" s="113"/>
      <c r="AM95" s="115"/>
      <c r="AO95" s="113"/>
      <c r="AP95" s="113"/>
      <c r="AQ95" s="56"/>
      <c r="AR95" s="404"/>
    </row>
    <row r="96" spans="6:44" hidden="1" x14ac:dyDescent="0.25">
      <c r="F96" s="113"/>
      <c r="G96" s="113"/>
      <c r="L96" s="117"/>
      <c r="P96" s="113"/>
      <c r="Q96" s="136"/>
      <c r="R96" s="98"/>
      <c r="S96" s="118"/>
      <c r="T96" s="118"/>
      <c r="V96" s="223"/>
      <c r="X96" s="98"/>
      <c r="Z96" s="98"/>
      <c r="AA96" s="98"/>
      <c r="AB96" s="98"/>
      <c r="AC96" s="298"/>
      <c r="AD96" s="53"/>
      <c r="AE96" s="113"/>
      <c r="AF96" s="113"/>
      <c r="AG96" s="113"/>
      <c r="AH96" s="113"/>
      <c r="AI96" s="113"/>
      <c r="AM96" s="115"/>
      <c r="AO96" s="113"/>
      <c r="AP96" s="113"/>
      <c r="AQ96" s="56"/>
      <c r="AR96" s="404"/>
    </row>
    <row r="97" spans="6:44" hidden="1" x14ac:dyDescent="0.25">
      <c r="F97" s="113"/>
      <c r="G97" s="113"/>
      <c r="L97" s="117"/>
      <c r="P97" s="113"/>
      <c r="Q97" s="136"/>
      <c r="R97" s="98"/>
      <c r="S97" s="118"/>
      <c r="T97" s="118"/>
      <c r="V97" s="223"/>
      <c r="X97" s="98"/>
      <c r="Z97" s="98"/>
      <c r="AA97" s="98"/>
      <c r="AB97" s="98"/>
      <c r="AC97" s="298"/>
      <c r="AD97" s="53"/>
      <c r="AE97" s="113"/>
      <c r="AF97" s="113"/>
      <c r="AG97" s="113"/>
      <c r="AH97" s="113"/>
      <c r="AI97" s="113"/>
      <c r="AM97" s="115"/>
      <c r="AO97" s="113"/>
      <c r="AP97" s="113"/>
      <c r="AQ97" s="56"/>
      <c r="AR97" s="404"/>
    </row>
    <row r="98" spans="6:44" hidden="1" x14ac:dyDescent="0.25">
      <c r="F98" s="113"/>
      <c r="G98" s="113"/>
      <c r="L98" s="117"/>
      <c r="P98" s="113"/>
      <c r="Q98" s="136"/>
      <c r="R98" s="98"/>
      <c r="S98" s="118"/>
      <c r="T98" s="118"/>
      <c r="V98" s="223"/>
      <c r="X98" s="98"/>
      <c r="Z98" s="98"/>
      <c r="AA98" s="98"/>
      <c r="AB98" s="98"/>
      <c r="AC98" s="298"/>
      <c r="AD98" s="53"/>
      <c r="AE98" s="113"/>
      <c r="AF98" s="113"/>
      <c r="AG98" s="113"/>
      <c r="AH98" s="113"/>
      <c r="AI98" s="113"/>
      <c r="AM98" s="115"/>
      <c r="AO98" s="113"/>
      <c r="AP98" s="113"/>
      <c r="AQ98" s="56"/>
      <c r="AR98" s="404"/>
    </row>
    <row r="99" spans="6:44" hidden="1" x14ac:dyDescent="0.25">
      <c r="F99" s="113"/>
      <c r="G99" s="113"/>
      <c r="L99" s="117"/>
      <c r="P99" s="113"/>
      <c r="Q99" s="136"/>
      <c r="R99" s="98"/>
      <c r="S99" s="118"/>
      <c r="T99" s="118"/>
      <c r="V99" s="223"/>
      <c r="X99" s="98"/>
      <c r="Z99" s="98"/>
      <c r="AA99" s="98"/>
      <c r="AB99" s="98"/>
      <c r="AC99" s="298"/>
      <c r="AD99" s="53"/>
      <c r="AE99" s="113"/>
      <c r="AF99" s="113"/>
      <c r="AG99" s="113"/>
      <c r="AH99" s="113"/>
      <c r="AI99" s="113"/>
      <c r="AM99" s="115"/>
      <c r="AO99" s="113"/>
      <c r="AP99" s="113"/>
      <c r="AQ99" s="56"/>
      <c r="AR99" s="404"/>
    </row>
    <row r="100" spans="6:44" hidden="1" x14ac:dyDescent="0.25">
      <c r="F100" s="113"/>
      <c r="G100" s="113"/>
      <c r="L100" s="117"/>
      <c r="P100" s="113"/>
      <c r="Q100" s="136"/>
      <c r="R100" s="98"/>
      <c r="S100" s="118"/>
      <c r="T100" s="118"/>
      <c r="V100" s="223"/>
      <c r="X100" s="98"/>
      <c r="Z100" s="98"/>
      <c r="AA100" s="98"/>
      <c r="AB100" s="98"/>
      <c r="AC100" s="298"/>
      <c r="AD100" s="53"/>
      <c r="AE100" s="113"/>
      <c r="AF100" s="113"/>
      <c r="AG100" s="113"/>
      <c r="AH100" s="113"/>
      <c r="AI100" s="113"/>
      <c r="AM100" s="115"/>
      <c r="AO100" s="113"/>
      <c r="AP100" s="113"/>
      <c r="AQ100" s="56"/>
      <c r="AR100" s="404"/>
    </row>
    <row r="101" spans="6:44" hidden="1" x14ac:dyDescent="0.25">
      <c r="F101" s="113"/>
      <c r="G101" s="113"/>
      <c r="L101" s="117"/>
      <c r="P101" s="113"/>
      <c r="Q101" s="136"/>
      <c r="R101" s="98"/>
      <c r="S101" s="118"/>
      <c r="T101" s="118"/>
      <c r="V101" s="223"/>
      <c r="X101" s="98"/>
      <c r="Z101" s="98"/>
      <c r="AA101" s="98"/>
      <c r="AB101" s="98"/>
      <c r="AC101" s="298"/>
      <c r="AD101" s="53"/>
      <c r="AE101" s="113"/>
      <c r="AF101" s="113"/>
      <c r="AG101" s="113"/>
      <c r="AH101" s="113"/>
      <c r="AI101" s="113"/>
      <c r="AM101" s="115"/>
      <c r="AO101" s="113"/>
      <c r="AP101" s="113"/>
      <c r="AQ101" s="56"/>
      <c r="AR101" s="404"/>
    </row>
    <row r="102" spans="6:44" hidden="1" x14ac:dyDescent="0.25">
      <c r="F102" s="113"/>
      <c r="G102" s="113"/>
      <c r="L102" s="117"/>
      <c r="P102" s="113"/>
      <c r="Q102" s="136"/>
      <c r="R102" s="98"/>
      <c r="S102" s="118"/>
      <c r="T102" s="118"/>
      <c r="V102" s="223"/>
      <c r="X102" s="98"/>
      <c r="Z102" s="98"/>
      <c r="AA102" s="98"/>
      <c r="AB102" s="98"/>
      <c r="AC102" s="298"/>
      <c r="AD102" s="53"/>
      <c r="AE102" s="113"/>
      <c r="AF102" s="113"/>
      <c r="AG102" s="113"/>
      <c r="AH102" s="113"/>
      <c r="AI102" s="113"/>
      <c r="AM102" s="115"/>
      <c r="AO102" s="113"/>
      <c r="AP102" s="113"/>
      <c r="AQ102" s="56"/>
      <c r="AR102" s="404"/>
    </row>
    <row r="103" spans="6:44" hidden="1" x14ac:dyDescent="0.25">
      <c r="F103" s="113"/>
      <c r="G103" s="113"/>
      <c r="L103" s="117"/>
      <c r="P103" s="113"/>
      <c r="Q103" s="136"/>
      <c r="R103" s="98"/>
      <c r="S103" s="118"/>
      <c r="T103" s="118"/>
      <c r="V103" s="223"/>
      <c r="X103" s="98"/>
      <c r="Z103" s="98"/>
      <c r="AA103" s="98"/>
      <c r="AB103" s="98"/>
      <c r="AC103" s="298"/>
      <c r="AD103" s="53"/>
      <c r="AE103" s="113"/>
      <c r="AF103" s="113"/>
      <c r="AG103" s="113"/>
      <c r="AH103" s="113"/>
      <c r="AI103" s="113"/>
      <c r="AM103" s="115"/>
      <c r="AO103" s="113"/>
      <c r="AP103" s="113"/>
      <c r="AQ103" s="56"/>
      <c r="AR103" s="404"/>
    </row>
    <row r="104" spans="6:44" hidden="1" x14ac:dyDescent="0.25">
      <c r="F104" s="113"/>
      <c r="G104" s="113"/>
      <c r="L104" s="117"/>
      <c r="P104" s="113"/>
      <c r="Q104" s="136"/>
      <c r="R104" s="98"/>
      <c r="S104" s="118"/>
      <c r="T104" s="118"/>
      <c r="V104" s="223"/>
      <c r="X104" s="98"/>
      <c r="Z104" s="98"/>
      <c r="AA104" s="98"/>
      <c r="AB104" s="98"/>
      <c r="AC104" s="298"/>
      <c r="AD104" s="53"/>
      <c r="AE104" s="113"/>
      <c r="AF104" s="113"/>
      <c r="AG104" s="113"/>
      <c r="AH104" s="113"/>
      <c r="AI104" s="113"/>
      <c r="AM104" s="115"/>
      <c r="AO104" s="113"/>
      <c r="AP104" s="113"/>
      <c r="AQ104" s="56"/>
      <c r="AR104" s="404"/>
    </row>
    <row r="105" spans="6:44" hidden="1" x14ac:dyDescent="0.25">
      <c r="F105" s="113"/>
      <c r="G105" s="113"/>
      <c r="L105" s="117"/>
      <c r="P105" s="113"/>
      <c r="Q105" s="136"/>
      <c r="R105" s="98"/>
      <c r="S105" s="118"/>
      <c r="T105" s="118"/>
      <c r="V105" s="223"/>
      <c r="X105" s="98"/>
      <c r="Z105" s="98"/>
      <c r="AA105" s="98"/>
      <c r="AB105" s="98"/>
      <c r="AC105" s="298"/>
      <c r="AD105" s="53"/>
      <c r="AE105" s="113"/>
      <c r="AF105" s="113"/>
      <c r="AG105" s="113"/>
      <c r="AH105" s="113"/>
      <c r="AI105" s="113"/>
      <c r="AM105" s="115"/>
      <c r="AO105" s="113"/>
      <c r="AP105" s="113"/>
      <c r="AQ105" s="56"/>
      <c r="AR105" s="404"/>
    </row>
    <row r="106" spans="6:44" hidden="1" x14ac:dyDescent="0.25">
      <c r="F106" s="113"/>
      <c r="G106" s="113"/>
      <c r="L106" s="117"/>
      <c r="P106" s="113"/>
      <c r="Q106" s="136"/>
      <c r="R106" s="98"/>
      <c r="S106" s="118"/>
      <c r="T106" s="118"/>
      <c r="V106" s="223"/>
      <c r="X106" s="98"/>
      <c r="Z106" s="98"/>
      <c r="AA106" s="98"/>
      <c r="AB106" s="98"/>
      <c r="AC106" s="298"/>
      <c r="AD106" s="53"/>
      <c r="AE106" s="113"/>
      <c r="AF106" s="113"/>
      <c r="AG106" s="113"/>
      <c r="AH106" s="113"/>
      <c r="AI106" s="113"/>
      <c r="AM106" s="115"/>
      <c r="AO106" s="113"/>
      <c r="AP106" s="113"/>
      <c r="AQ106" s="56"/>
      <c r="AR106" s="404"/>
    </row>
    <row r="107" spans="6:44" hidden="1" x14ac:dyDescent="0.25">
      <c r="F107" s="113"/>
      <c r="G107" s="113"/>
      <c r="L107" s="117"/>
      <c r="P107" s="113"/>
      <c r="Q107" s="136"/>
      <c r="R107" s="98"/>
      <c r="S107" s="118"/>
      <c r="T107" s="118"/>
      <c r="V107" s="223"/>
      <c r="X107" s="98"/>
      <c r="Z107" s="98"/>
      <c r="AA107" s="98"/>
      <c r="AB107" s="98"/>
      <c r="AC107" s="298"/>
      <c r="AD107" s="53"/>
      <c r="AE107" s="113"/>
      <c r="AF107" s="113"/>
      <c r="AG107" s="113"/>
      <c r="AH107" s="113"/>
      <c r="AI107" s="113"/>
      <c r="AM107" s="115"/>
      <c r="AO107" s="113"/>
      <c r="AP107" s="113"/>
      <c r="AQ107" s="56"/>
      <c r="AR107" s="404"/>
    </row>
    <row r="108" spans="6:44" hidden="1" x14ac:dyDescent="0.25">
      <c r="F108" s="113"/>
      <c r="G108" s="113"/>
      <c r="L108" s="117"/>
      <c r="P108" s="113"/>
      <c r="Q108" s="136"/>
      <c r="R108" s="98"/>
      <c r="S108" s="118"/>
      <c r="T108" s="118"/>
      <c r="V108" s="223"/>
      <c r="X108" s="98"/>
      <c r="Z108" s="98"/>
      <c r="AA108" s="98"/>
      <c r="AB108" s="98"/>
      <c r="AC108" s="298"/>
      <c r="AD108" s="53"/>
      <c r="AE108" s="113"/>
      <c r="AF108" s="113"/>
      <c r="AG108" s="113"/>
      <c r="AH108" s="113"/>
      <c r="AI108" s="113"/>
      <c r="AM108" s="115"/>
      <c r="AO108" s="113"/>
      <c r="AP108" s="113"/>
      <c r="AQ108" s="56"/>
      <c r="AR108" s="404"/>
    </row>
    <row r="109" spans="6:44" hidden="1" x14ac:dyDescent="0.25">
      <c r="F109" s="113"/>
      <c r="G109" s="113"/>
      <c r="L109" s="117"/>
      <c r="P109" s="113"/>
      <c r="Q109" s="136"/>
      <c r="R109" s="98"/>
      <c r="S109" s="118"/>
      <c r="T109" s="118"/>
      <c r="V109" s="223"/>
      <c r="X109" s="98"/>
      <c r="Z109" s="98"/>
      <c r="AA109" s="98"/>
      <c r="AB109" s="98"/>
      <c r="AC109" s="298"/>
      <c r="AD109" s="53"/>
      <c r="AE109" s="113"/>
      <c r="AF109" s="113"/>
      <c r="AG109" s="113"/>
      <c r="AH109" s="113"/>
      <c r="AI109" s="113"/>
      <c r="AM109" s="115"/>
      <c r="AO109" s="113"/>
      <c r="AP109" s="113"/>
      <c r="AQ109" s="56"/>
      <c r="AR109" s="404"/>
    </row>
    <row r="110" spans="6:44" hidden="1" x14ac:dyDescent="0.25">
      <c r="F110" s="113"/>
      <c r="G110" s="113"/>
      <c r="L110" s="117"/>
      <c r="P110" s="113"/>
      <c r="Q110" s="136"/>
      <c r="R110" s="98"/>
      <c r="S110" s="118"/>
      <c r="T110" s="118"/>
      <c r="V110" s="223"/>
      <c r="X110" s="98"/>
      <c r="Z110" s="98"/>
      <c r="AA110" s="98"/>
      <c r="AB110" s="98"/>
      <c r="AC110" s="298"/>
      <c r="AD110" s="53"/>
      <c r="AE110" s="113"/>
      <c r="AF110" s="113"/>
      <c r="AG110" s="113"/>
      <c r="AH110" s="113"/>
      <c r="AI110" s="113"/>
      <c r="AM110" s="115"/>
      <c r="AO110" s="113"/>
      <c r="AP110" s="113"/>
      <c r="AQ110" s="56"/>
      <c r="AR110" s="404"/>
    </row>
    <row r="111" spans="6:44" hidden="1" x14ac:dyDescent="0.25">
      <c r="F111" s="113"/>
      <c r="G111" s="113"/>
      <c r="L111" s="117"/>
      <c r="P111" s="113"/>
      <c r="Q111" s="136"/>
      <c r="R111" s="98"/>
      <c r="S111" s="118"/>
      <c r="T111" s="118"/>
      <c r="V111" s="223"/>
      <c r="X111" s="98"/>
      <c r="Z111" s="98"/>
      <c r="AA111" s="98"/>
      <c r="AB111" s="98"/>
      <c r="AC111" s="298"/>
      <c r="AD111" s="53"/>
      <c r="AE111" s="113"/>
      <c r="AF111" s="113"/>
      <c r="AG111" s="113"/>
      <c r="AH111" s="113"/>
      <c r="AI111" s="113"/>
      <c r="AM111" s="115"/>
      <c r="AO111" s="113"/>
      <c r="AP111" s="113"/>
      <c r="AQ111" s="56"/>
      <c r="AR111" s="404"/>
    </row>
    <row r="112" spans="6:44" hidden="1" x14ac:dyDescent="0.25">
      <c r="F112" s="113"/>
      <c r="G112" s="113"/>
      <c r="L112" s="117"/>
      <c r="P112" s="113"/>
      <c r="Q112" s="136"/>
      <c r="R112" s="98"/>
      <c r="S112" s="118"/>
      <c r="T112" s="118"/>
      <c r="V112" s="223"/>
      <c r="X112" s="98"/>
      <c r="Z112" s="98"/>
      <c r="AA112" s="98"/>
      <c r="AB112" s="98"/>
      <c r="AC112" s="298"/>
      <c r="AD112" s="53"/>
      <c r="AE112" s="113"/>
      <c r="AF112" s="113"/>
      <c r="AG112" s="113"/>
      <c r="AH112" s="113"/>
      <c r="AI112" s="113"/>
      <c r="AM112" s="115"/>
      <c r="AO112" s="113"/>
      <c r="AP112" s="113"/>
      <c r="AQ112" s="56"/>
      <c r="AR112" s="404"/>
    </row>
    <row r="113" spans="6:44" hidden="1" x14ac:dyDescent="0.25">
      <c r="F113" s="113"/>
      <c r="G113" s="113"/>
      <c r="L113" s="117"/>
      <c r="P113" s="113"/>
      <c r="Q113" s="136"/>
      <c r="R113" s="98"/>
      <c r="S113" s="118"/>
      <c r="T113" s="118"/>
      <c r="V113" s="223"/>
      <c r="X113" s="98"/>
      <c r="Z113" s="98"/>
      <c r="AA113" s="98"/>
      <c r="AB113" s="98"/>
      <c r="AC113" s="298"/>
      <c r="AD113" s="53"/>
      <c r="AE113" s="113"/>
      <c r="AF113" s="113"/>
      <c r="AG113" s="113"/>
      <c r="AH113" s="113"/>
      <c r="AI113" s="113"/>
      <c r="AM113" s="115"/>
      <c r="AO113" s="113"/>
      <c r="AP113" s="113"/>
      <c r="AQ113" s="56"/>
      <c r="AR113" s="404"/>
    </row>
    <row r="114" spans="6:44" hidden="1" x14ac:dyDescent="0.25">
      <c r="F114" s="113"/>
      <c r="G114" s="113"/>
      <c r="L114" s="117"/>
      <c r="P114" s="113"/>
      <c r="Q114" s="136"/>
      <c r="R114" s="98"/>
      <c r="S114" s="118"/>
      <c r="T114" s="118"/>
      <c r="V114" s="223"/>
      <c r="X114" s="98"/>
      <c r="Z114" s="98"/>
      <c r="AA114" s="98"/>
      <c r="AB114" s="98"/>
      <c r="AC114" s="298"/>
      <c r="AD114" s="53"/>
      <c r="AE114" s="113"/>
      <c r="AF114" s="113"/>
      <c r="AG114" s="113"/>
      <c r="AH114" s="113"/>
      <c r="AI114" s="113"/>
      <c r="AM114" s="115"/>
      <c r="AO114" s="113"/>
      <c r="AP114" s="113"/>
      <c r="AQ114" s="56"/>
      <c r="AR114" s="404"/>
    </row>
    <row r="115" spans="6:44" hidden="1" x14ac:dyDescent="0.25">
      <c r="F115" s="113"/>
      <c r="G115" s="113"/>
      <c r="L115" s="117"/>
      <c r="P115" s="113"/>
      <c r="Q115" s="136"/>
      <c r="R115" s="98"/>
      <c r="S115" s="118"/>
      <c r="T115" s="118"/>
      <c r="V115" s="223"/>
      <c r="X115" s="98"/>
      <c r="Z115" s="98"/>
      <c r="AA115" s="98"/>
      <c r="AB115" s="98"/>
      <c r="AC115" s="298"/>
      <c r="AD115" s="53"/>
      <c r="AE115" s="113"/>
      <c r="AF115" s="113"/>
      <c r="AG115" s="113"/>
      <c r="AH115" s="113"/>
      <c r="AI115" s="113"/>
      <c r="AM115" s="115"/>
      <c r="AO115" s="113"/>
      <c r="AP115" s="113"/>
      <c r="AQ115" s="56"/>
      <c r="AR115" s="404"/>
    </row>
    <row r="116" spans="6:44" hidden="1" x14ac:dyDescent="0.25">
      <c r="F116" s="113"/>
      <c r="G116" s="113"/>
      <c r="L116" s="117"/>
      <c r="P116" s="113"/>
      <c r="Q116" s="136"/>
      <c r="R116" s="98"/>
      <c r="S116" s="118"/>
      <c r="T116" s="118"/>
      <c r="V116" s="223"/>
      <c r="X116" s="98"/>
      <c r="Z116" s="98"/>
      <c r="AA116" s="98"/>
      <c r="AB116" s="98"/>
      <c r="AC116" s="298"/>
      <c r="AD116" s="53"/>
      <c r="AE116" s="113"/>
      <c r="AF116" s="113"/>
      <c r="AG116" s="113"/>
      <c r="AH116" s="113"/>
      <c r="AI116" s="113"/>
      <c r="AM116" s="115"/>
      <c r="AO116" s="113"/>
      <c r="AP116" s="113"/>
      <c r="AQ116" s="56"/>
      <c r="AR116" s="404"/>
    </row>
    <row r="117" spans="6:44" hidden="1" x14ac:dyDescent="0.25">
      <c r="F117" s="113"/>
      <c r="G117" s="113"/>
      <c r="L117" s="117"/>
      <c r="P117" s="113"/>
      <c r="Q117" s="136"/>
      <c r="R117" s="98"/>
      <c r="S117" s="118"/>
      <c r="T117" s="118"/>
      <c r="V117" s="223"/>
      <c r="X117" s="98"/>
      <c r="Z117" s="98"/>
      <c r="AA117" s="98"/>
      <c r="AB117" s="98"/>
      <c r="AC117" s="298"/>
      <c r="AD117" s="53"/>
      <c r="AE117" s="113"/>
      <c r="AF117" s="113"/>
      <c r="AG117" s="113"/>
      <c r="AH117" s="113"/>
      <c r="AI117" s="113"/>
      <c r="AM117" s="115"/>
      <c r="AO117" s="113"/>
      <c r="AP117" s="113"/>
      <c r="AQ117" s="56"/>
      <c r="AR117" s="404"/>
    </row>
    <row r="118" spans="6:44" hidden="1" x14ac:dyDescent="0.25">
      <c r="F118" s="113"/>
      <c r="G118" s="113"/>
      <c r="L118" s="117"/>
      <c r="P118" s="113"/>
      <c r="Q118" s="136"/>
      <c r="R118" s="98"/>
      <c r="S118" s="118"/>
      <c r="T118" s="118"/>
      <c r="V118" s="223"/>
      <c r="X118" s="98"/>
      <c r="Z118" s="98"/>
      <c r="AA118" s="98"/>
      <c r="AB118" s="98"/>
      <c r="AC118" s="298"/>
      <c r="AD118" s="53"/>
      <c r="AE118" s="113"/>
      <c r="AF118" s="113"/>
      <c r="AG118" s="113"/>
      <c r="AH118" s="113"/>
      <c r="AI118" s="113"/>
      <c r="AM118" s="115"/>
      <c r="AO118" s="113"/>
      <c r="AP118" s="113"/>
      <c r="AQ118" s="56"/>
      <c r="AR118" s="404"/>
    </row>
    <row r="119" spans="6:44" hidden="1" x14ac:dyDescent="0.25">
      <c r="F119" s="113"/>
      <c r="G119" s="113"/>
      <c r="L119" s="117"/>
      <c r="P119" s="113"/>
      <c r="Q119" s="136"/>
      <c r="R119" s="98"/>
      <c r="S119" s="118"/>
      <c r="T119" s="118"/>
      <c r="V119" s="223"/>
      <c r="X119" s="98"/>
      <c r="Z119" s="98"/>
      <c r="AA119" s="98"/>
      <c r="AB119" s="98"/>
      <c r="AC119" s="298"/>
      <c r="AD119" s="53"/>
      <c r="AE119" s="113"/>
      <c r="AF119" s="113"/>
      <c r="AG119" s="113"/>
      <c r="AH119" s="113"/>
      <c r="AI119" s="113"/>
      <c r="AM119" s="115"/>
      <c r="AO119" s="113"/>
      <c r="AP119" s="113"/>
      <c r="AQ119" s="56"/>
      <c r="AR119" s="404"/>
    </row>
    <row r="120" spans="6:44" hidden="1" x14ac:dyDescent="0.25">
      <c r="F120" s="113"/>
      <c r="G120" s="113"/>
      <c r="L120" s="117"/>
      <c r="P120" s="113"/>
      <c r="Q120" s="136"/>
      <c r="R120" s="98"/>
      <c r="S120" s="118"/>
      <c r="T120" s="118"/>
      <c r="V120" s="223"/>
      <c r="X120" s="98"/>
      <c r="Z120" s="98"/>
      <c r="AA120" s="98"/>
      <c r="AB120" s="98"/>
      <c r="AC120" s="298"/>
      <c r="AD120" s="53"/>
      <c r="AE120" s="113"/>
      <c r="AF120" s="113"/>
      <c r="AG120" s="113"/>
      <c r="AH120" s="113"/>
      <c r="AI120" s="113"/>
      <c r="AM120" s="115"/>
      <c r="AO120" s="113"/>
      <c r="AP120" s="113"/>
      <c r="AQ120" s="56"/>
      <c r="AR120" s="404"/>
    </row>
    <row r="121" spans="6:44" hidden="1" x14ac:dyDescent="0.25">
      <c r="F121" s="113"/>
      <c r="G121" s="113"/>
      <c r="L121" s="117"/>
      <c r="P121" s="113"/>
      <c r="Q121" s="136"/>
      <c r="R121" s="98"/>
      <c r="S121" s="118"/>
      <c r="T121" s="118"/>
      <c r="V121" s="223"/>
      <c r="X121" s="98"/>
      <c r="Z121" s="98"/>
      <c r="AA121" s="98"/>
      <c r="AB121" s="98"/>
      <c r="AC121" s="298"/>
      <c r="AD121" s="53"/>
      <c r="AE121" s="113"/>
      <c r="AF121" s="113"/>
      <c r="AG121" s="113"/>
      <c r="AH121" s="113"/>
      <c r="AI121" s="113"/>
      <c r="AM121" s="115"/>
      <c r="AO121" s="113"/>
      <c r="AP121" s="113"/>
      <c r="AQ121" s="56"/>
      <c r="AR121" s="404"/>
    </row>
    <row r="122" spans="6:44" hidden="1" x14ac:dyDescent="0.25">
      <c r="F122" s="113"/>
      <c r="G122" s="113"/>
      <c r="L122" s="117"/>
      <c r="P122" s="113"/>
      <c r="Q122" s="136"/>
      <c r="R122" s="98"/>
      <c r="S122" s="118"/>
      <c r="T122" s="118"/>
      <c r="V122" s="223"/>
      <c r="X122" s="98"/>
      <c r="Z122" s="98"/>
      <c r="AA122" s="98"/>
      <c r="AB122" s="98"/>
      <c r="AC122" s="298"/>
      <c r="AD122" s="53"/>
      <c r="AE122" s="113"/>
      <c r="AF122" s="113"/>
      <c r="AG122" s="113"/>
      <c r="AH122" s="113"/>
      <c r="AI122" s="113"/>
      <c r="AM122" s="115"/>
      <c r="AO122" s="113"/>
      <c r="AP122" s="113"/>
      <c r="AQ122" s="56"/>
      <c r="AR122" s="404"/>
    </row>
    <row r="123" spans="6:44" hidden="1" x14ac:dyDescent="0.25">
      <c r="F123" s="113"/>
      <c r="G123" s="113"/>
      <c r="L123" s="117"/>
      <c r="P123" s="113"/>
      <c r="Q123" s="136"/>
      <c r="R123" s="98"/>
      <c r="S123" s="118"/>
      <c r="T123" s="118"/>
      <c r="V123" s="223"/>
      <c r="X123" s="98"/>
      <c r="Z123" s="98"/>
      <c r="AA123" s="98"/>
      <c r="AB123" s="98"/>
      <c r="AC123" s="298"/>
      <c r="AD123" s="53"/>
      <c r="AE123" s="113"/>
      <c r="AF123" s="113"/>
      <c r="AG123" s="113"/>
      <c r="AH123" s="113"/>
      <c r="AI123" s="113"/>
      <c r="AM123" s="115"/>
      <c r="AO123" s="113"/>
      <c r="AP123" s="113"/>
      <c r="AQ123" s="56"/>
      <c r="AR123" s="404"/>
    </row>
    <row r="124" spans="6:44" hidden="1" x14ac:dyDescent="0.25">
      <c r="F124" s="113"/>
      <c r="G124" s="113"/>
      <c r="L124" s="117"/>
      <c r="P124" s="113"/>
      <c r="Q124" s="136"/>
      <c r="R124" s="98"/>
      <c r="S124" s="118"/>
      <c r="T124" s="118"/>
      <c r="V124" s="223"/>
      <c r="X124" s="98"/>
      <c r="Z124" s="98"/>
      <c r="AA124" s="98"/>
      <c r="AB124" s="98"/>
      <c r="AC124" s="298"/>
      <c r="AD124" s="53"/>
      <c r="AE124" s="113"/>
      <c r="AF124" s="113"/>
      <c r="AG124" s="113"/>
      <c r="AH124" s="113"/>
      <c r="AI124" s="113"/>
      <c r="AM124" s="115"/>
      <c r="AO124" s="113"/>
      <c r="AP124" s="113"/>
      <c r="AQ124" s="56"/>
      <c r="AR124" s="404"/>
    </row>
    <row r="125" spans="6:44" hidden="1" x14ac:dyDescent="0.25">
      <c r="F125" s="113"/>
      <c r="G125" s="113"/>
      <c r="L125" s="117"/>
      <c r="P125" s="113"/>
      <c r="Q125" s="136"/>
      <c r="R125" s="98"/>
      <c r="S125" s="118"/>
      <c r="T125" s="118"/>
      <c r="V125" s="223"/>
      <c r="X125" s="98"/>
      <c r="Z125" s="98"/>
      <c r="AA125" s="98"/>
      <c r="AB125" s="98"/>
      <c r="AC125" s="298"/>
      <c r="AD125" s="53"/>
      <c r="AE125" s="113"/>
      <c r="AF125" s="113"/>
      <c r="AG125" s="113"/>
      <c r="AH125" s="113"/>
      <c r="AI125" s="113"/>
      <c r="AM125" s="115"/>
      <c r="AO125" s="113"/>
      <c r="AP125" s="113"/>
      <c r="AQ125" s="56"/>
      <c r="AR125" s="404"/>
    </row>
    <row r="126" spans="6:44" hidden="1" x14ac:dyDescent="0.25">
      <c r="F126" s="113"/>
      <c r="G126" s="113"/>
      <c r="L126" s="117"/>
      <c r="P126" s="113"/>
      <c r="Q126" s="136"/>
      <c r="R126" s="98"/>
      <c r="S126" s="118"/>
      <c r="T126" s="118"/>
      <c r="V126" s="223"/>
      <c r="X126" s="98"/>
      <c r="Z126" s="98"/>
      <c r="AA126" s="98"/>
      <c r="AB126" s="98"/>
      <c r="AC126" s="298"/>
      <c r="AD126" s="53"/>
      <c r="AE126" s="113"/>
      <c r="AF126" s="113"/>
      <c r="AG126" s="113"/>
      <c r="AH126" s="113"/>
      <c r="AI126" s="113"/>
      <c r="AM126" s="115"/>
      <c r="AO126" s="113"/>
      <c r="AP126" s="113"/>
      <c r="AQ126" s="56"/>
      <c r="AR126" s="404"/>
    </row>
    <row r="127" spans="6:44" hidden="1" x14ac:dyDescent="0.25">
      <c r="F127" s="113"/>
      <c r="G127" s="113"/>
      <c r="L127" s="117"/>
      <c r="P127" s="113"/>
      <c r="Q127" s="136"/>
      <c r="R127" s="98"/>
      <c r="S127" s="118"/>
      <c r="T127" s="118"/>
      <c r="V127" s="223"/>
      <c r="X127" s="98"/>
      <c r="Z127" s="98"/>
      <c r="AA127" s="98"/>
      <c r="AB127" s="98"/>
      <c r="AC127" s="298"/>
      <c r="AD127" s="53"/>
      <c r="AE127" s="113"/>
      <c r="AF127" s="113"/>
      <c r="AG127" s="113"/>
      <c r="AH127" s="113"/>
      <c r="AI127" s="113"/>
      <c r="AM127" s="115"/>
      <c r="AO127" s="113"/>
      <c r="AP127" s="113"/>
      <c r="AQ127" s="56"/>
      <c r="AR127" s="404"/>
    </row>
    <row r="128" spans="6:44" hidden="1" x14ac:dyDescent="0.25">
      <c r="F128" s="113"/>
      <c r="G128" s="113"/>
      <c r="L128" s="117"/>
      <c r="P128" s="113"/>
      <c r="Q128" s="136"/>
      <c r="R128" s="98"/>
      <c r="S128" s="118"/>
      <c r="T128" s="118"/>
      <c r="V128" s="223"/>
      <c r="X128" s="98"/>
      <c r="Z128" s="98"/>
      <c r="AA128" s="98"/>
      <c r="AB128" s="98"/>
      <c r="AC128" s="298"/>
      <c r="AD128" s="53"/>
      <c r="AE128" s="113"/>
      <c r="AF128" s="113"/>
      <c r="AG128" s="113"/>
      <c r="AH128" s="113"/>
      <c r="AI128" s="113"/>
      <c r="AM128" s="115"/>
      <c r="AO128" s="113"/>
      <c r="AP128" s="113"/>
      <c r="AQ128" s="56"/>
      <c r="AR128" s="404"/>
    </row>
    <row r="129" spans="6:44" hidden="1" x14ac:dyDescent="0.25">
      <c r="F129" s="113"/>
      <c r="G129" s="113"/>
      <c r="L129" s="117"/>
      <c r="P129" s="113"/>
      <c r="Q129" s="136"/>
      <c r="R129" s="98"/>
      <c r="S129" s="118"/>
      <c r="T129" s="118"/>
      <c r="V129" s="223"/>
      <c r="X129" s="98"/>
      <c r="Z129" s="98"/>
      <c r="AA129" s="98"/>
      <c r="AB129" s="98"/>
      <c r="AC129" s="298"/>
      <c r="AD129" s="53"/>
      <c r="AE129" s="113"/>
      <c r="AF129" s="113"/>
      <c r="AG129" s="113"/>
      <c r="AH129" s="113"/>
      <c r="AI129" s="113"/>
      <c r="AM129" s="115"/>
      <c r="AO129" s="113"/>
      <c r="AP129" s="113"/>
      <c r="AQ129" s="56"/>
      <c r="AR129" s="404"/>
    </row>
    <row r="130" spans="6:44" hidden="1" x14ac:dyDescent="0.25">
      <c r="F130" s="113"/>
      <c r="G130" s="113"/>
      <c r="L130" s="117"/>
      <c r="P130" s="113"/>
      <c r="Q130" s="136"/>
      <c r="R130" s="98"/>
      <c r="S130" s="118"/>
      <c r="T130" s="118"/>
      <c r="V130" s="223"/>
      <c r="X130" s="98"/>
      <c r="Z130" s="98"/>
      <c r="AA130" s="98"/>
      <c r="AB130" s="98"/>
      <c r="AC130" s="298"/>
      <c r="AD130" s="53"/>
      <c r="AE130" s="113"/>
      <c r="AF130" s="113"/>
      <c r="AG130" s="113"/>
      <c r="AH130" s="113"/>
      <c r="AI130" s="113"/>
      <c r="AM130" s="115"/>
      <c r="AO130" s="113"/>
      <c r="AP130" s="113"/>
      <c r="AQ130" s="56"/>
      <c r="AR130" s="404"/>
    </row>
    <row r="131" spans="6:44" hidden="1" x14ac:dyDescent="0.25">
      <c r="F131" s="113"/>
      <c r="G131" s="113"/>
      <c r="L131" s="117"/>
      <c r="P131" s="113"/>
      <c r="Q131" s="136"/>
      <c r="R131" s="98"/>
      <c r="S131" s="118"/>
      <c r="T131" s="118"/>
      <c r="V131" s="223"/>
      <c r="X131" s="98"/>
      <c r="Z131" s="98"/>
      <c r="AA131" s="98"/>
      <c r="AB131" s="98"/>
      <c r="AC131" s="298"/>
      <c r="AD131" s="53"/>
      <c r="AE131" s="113"/>
      <c r="AF131" s="113"/>
      <c r="AG131" s="113"/>
      <c r="AH131" s="113"/>
      <c r="AI131" s="113"/>
      <c r="AM131" s="115"/>
      <c r="AO131" s="113"/>
      <c r="AP131" s="113"/>
      <c r="AQ131" s="56"/>
      <c r="AR131" s="404"/>
    </row>
    <row r="132" spans="6:44" hidden="1" x14ac:dyDescent="0.25">
      <c r="F132" s="113"/>
      <c r="G132" s="113"/>
      <c r="L132" s="117"/>
      <c r="P132" s="113"/>
      <c r="Q132" s="136"/>
      <c r="R132" s="98"/>
      <c r="S132" s="118"/>
      <c r="T132" s="118"/>
      <c r="V132" s="223"/>
      <c r="X132" s="98"/>
      <c r="Z132" s="98"/>
      <c r="AA132" s="98"/>
      <c r="AB132" s="98"/>
      <c r="AC132" s="298"/>
      <c r="AD132" s="53"/>
      <c r="AE132" s="113"/>
      <c r="AF132" s="113"/>
      <c r="AG132" s="113"/>
      <c r="AH132" s="113"/>
      <c r="AI132" s="113"/>
      <c r="AM132" s="115"/>
      <c r="AO132" s="113"/>
      <c r="AP132" s="113"/>
      <c r="AQ132" s="56"/>
      <c r="AR132" s="404"/>
    </row>
    <row r="133" spans="6:44" hidden="1" x14ac:dyDescent="0.25">
      <c r="F133" s="113"/>
      <c r="G133" s="113"/>
      <c r="L133" s="117"/>
      <c r="P133" s="113"/>
      <c r="Q133" s="136"/>
      <c r="R133" s="98"/>
      <c r="S133" s="118"/>
      <c r="T133" s="118"/>
      <c r="V133" s="223"/>
      <c r="X133" s="98"/>
      <c r="Z133" s="98"/>
      <c r="AA133" s="98"/>
      <c r="AB133" s="98"/>
      <c r="AC133" s="298"/>
      <c r="AD133" s="53"/>
      <c r="AE133" s="113"/>
      <c r="AF133" s="113"/>
      <c r="AG133" s="113"/>
      <c r="AH133" s="113"/>
      <c r="AI133" s="113"/>
      <c r="AM133" s="115"/>
      <c r="AO133" s="113"/>
      <c r="AP133" s="113"/>
      <c r="AQ133" s="56"/>
      <c r="AR133" s="404"/>
    </row>
    <row r="134" spans="6:44" hidden="1" x14ac:dyDescent="0.25">
      <c r="F134" s="113"/>
      <c r="G134" s="113"/>
      <c r="L134" s="117"/>
      <c r="P134" s="113"/>
      <c r="Q134" s="136"/>
      <c r="R134" s="98"/>
      <c r="S134" s="118"/>
      <c r="T134" s="118"/>
      <c r="V134" s="223"/>
      <c r="X134" s="98"/>
      <c r="Z134" s="98"/>
      <c r="AA134" s="98"/>
      <c r="AB134" s="98"/>
      <c r="AC134" s="298"/>
      <c r="AD134" s="53"/>
      <c r="AE134" s="113"/>
      <c r="AF134" s="113"/>
      <c r="AG134" s="113"/>
      <c r="AH134" s="113"/>
      <c r="AI134" s="113"/>
      <c r="AM134" s="115"/>
      <c r="AO134" s="113"/>
      <c r="AP134" s="113"/>
      <c r="AQ134" s="56"/>
      <c r="AR134" s="404"/>
    </row>
    <row r="135" spans="6:44" hidden="1" x14ac:dyDescent="0.25">
      <c r="F135" s="113"/>
      <c r="G135" s="113"/>
      <c r="L135" s="117"/>
      <c r="P135" s="113"/>
      <c r="Q135" s="136"/>
      <c r="R135" s="98"/>
      <c r="S135" s="118"/>
      <c r="T135" s="118"/>
      <c r="V135" s="223"/>
      <c r="X135" s="98"/>
      <c r="Z135" s="98"/>
      <c r="AA135" s="98"/>
      <c r="AB135" s="98"/>
      <c r="AC135" s="298"/>
      <c r="AD135" s="53"/>
      <c r="AE135" s="113"/>
      <c r="AF135" s="113"/>
      <c r="AG135" s="113"/>
      <c r="AH135" s="113"/>
      <c r="AI135" s="113"/>
      <c r="AM135" s="115"/>
      <c r="AO135" s="113"/>
      <c r="AP135" s="113"/>
      <c r="AQ135" s="56"/>
      <c r="AR135" s="404"/>
    </row>
    <row r="136" spans="6:44" hidden="1" x14ac:dyDescent="0.25">
      <c r="F136" s="113"/>
      <c r="G136" s="113"/>
      <c r="L136" s="117"/>
      <c r="P136" s="113"/>
      <c r="Q136" s="136"/>
      <c r="R136" s="98"/>
      <c r="S136" s="118"/>
      <c r="T136" s="118"/>
      <c r="V136" s="223"/>
      <c r="X136" s="98"/>
      <c r="Z136" s="98"/>
      <c r="AA136" s="98"/>
      <c r="AB136" s="98"/>
      <c r="AC136" s="298"/>
      <c r="AD136" s="53"/>
      <c r="AE136" s="113"/>
      <c r="AF136" s="113"/>
      <c r="AG136" s="113"/>
      <c r="AH136" s="113"/>
      <c r="AI136" s="113"/>
      <c r="AM136" s="115"/>
      <c r="AO136" s="113"/>
      <c r="AP136" s="113"/>
      <c r="AQ136" s="56"/>
      <c r="AR136" s="404"/>
    </row>
    <row r="137" spans="6:44" hidden="1" x14ac:dyDescent="0.25">
      <c r="F137" s="113"/>
      <c r="G137" s="113"/>
      <c r="L137" s="117"/>
      <c r="P137" s="113"/>
      <c r="Q137" s="136"/>
      <c r="R137" s="98"/>
      <c r="S137" s="118"/>
      <c r="T137" s="118"/>
      <c r="V137" s="223"/>
      <c r="X137" s="98"/>
      <c r="Z137" s="98"/>
      <c r="AA137" s="98"/>
      <c r="AB137" s="98"/>
      <c r="AC137" s="298"/>
      <c r="AD137" s="53"/>
      <c r="AE137" s="113"/>
      <c r="AF137" s="113"/>
      <c r="AG137" s="113"/>
      <c r="AH137" s="113"/>
      <c r="AI137" s="113"/>
      <c r="AM137" s="115"/>
      <c r="AO137" s="113"/>
      <c r="AP137" s="113"/>
      <c r="AQ137" s="56"/>
      <c r="AR137" s="404"/>
    </row>
    <row r="138" spans="6:44" hidden="1" x14ac:dyDescent="0.25">
      <c r="F138" s="113"/>
      <c r="G138" s="113"/>
      <c r="L138" s="117"/>
      <c r="P138" s="113"/>
      <c r="Q138" s="136"/>
      <c r="R138" s="98"/>
      <c r="S138" s="118"/>
      <c r="T138" s="118"/>
      <c r="V138" s="223"/>
      <c r="X138" s="98"/>
      <c r="Z138" s="98"/>
      <c r="AA138" s="98"/>
      <c r="AB138" s="98"/>
      <c r="AC138" s="298"/>
      <c r="AD138" s="53"/>
      <c r="AE138" s="113"/>
      <c r="AF138" s="113"/>
      <c r="AG138" s="113"/>
      <c r="AH138" s="113"/>
      <c r="AI138" s="113"/>
      <c r="AM138" s="115"/>
      <c r="AO138" s="113"/>
      <c r="AP138" s="113"/>
      <c r="AQ138" s="56"/>
      <c r="AR138" s="404"/>
    </row>
    <row r="139" spans="6:44" hidden="1" x14ac:dyDescent="0.25">
      <c r="F139" s="113"/>
      <c r="G139" s="113"/>
      <c r="L139" s="117"/>
      <c r="P139" s="113"/>
      <c r="Q139" s="136"/>
      <c r="R139" s="98"/>
      <c r="S139" s="118"/>
      <c r="T139" s="118"/>
      <c r="V139" s="223"/>
      <c r="X139" s="98"/>
      <c r="Z139" s="98"/>
      <c r="AA139" s="98"/>
      <c r="AB139" s="98"/>
      <c r="AC139" s="298"/>
      <c r="AD139" s="53"/>
      <c r="AE139" s="113"/>
      <c r="AF139" s="113"/>
      <c r="AG139" s="113"/>
      <c r="AH139" s="113"/>
      <c r="AI139" s="113"/>
      <c r="AM139" s="115"/>
      <c r="AO139" s="113"/>
      <c r="AP139" s="113"/>
      <c r="AQ139" s="56"/>
      <c r="AR139" s="404"/>
    </row>
    <row r="140" spans="6:44" hidden="1" x14ac:dyDescent="0.25">
      <c r="F140" s="113"/>
      <c r="G140" s="113"/>
      <c r="L140" s="117"/>
      <c r="P140" s="113"/>
      <c r="Q140" s="136"/>
      <c r="R140" s="98"/>
      <c r="S140" s="118"/>
      <c r="T140" s="118"/>
      <c r="V140" s="223"/>
      <c r="X140" s="98"/>
      <c r="Z140" s="98"/>
      <c r="AA140" s="98"/>
      <c r="AB140" s="98"/>
      <c r="AC140" s="298"/>
      <c r="AD140" s="53"/>
      <c r="AE140" s="113"/>
      <c r="AF140" s="113"/>
      <c r="AG140" s="113"/>
      <c r="AH140" s="113"/>
      <c r="AI140" s="113"/>
      <c r="AM140" s="115"/>
      <c r="AO140" s="113"/>
      <c r="AP140" s="113"/>
      <c r="AQ140" s="56"/>
      <c r="AR140" s="404"/>
    </row>
    <row r="141" spans="6:44" hidden="1" x14ac:dyDescent="0.25">
      <c r="F141" s="113"/>
      <c r="G141" s="113"/>
      <c r="L141" s="117"/>
      <c r="P141" s="113"/>
      <c r="Q141" s="136"/>
      <c r="R141" s="98"/>
      <c r="S141" s="118"/>
      <c r="T141" s="118"/>
      <c r="V141" s="223"/>
      <c r="X141" s="98"/>
      <c r="Z141" s="98"/>
      <c r="AA141" s="98"/>
      <c r="AB141" s="98"/>
      <c r="AC141" s="298"/>
      <c r="AD141" s="53"/>
      <c r="AE141" s="113"/>
      <c r="AF141" s="113"/>
      <c r="AG141" s="113"/>
      <c r="AH141" s="113"/>
      <c r="AI141" s="113"/>
      <c r="AM141" s="115"/>
      <c r="AO141" s="113"/>
      <c r="AP141" s="113"/>
      <c r="AQ141" s="56"/>
      <c r="AR141" s="404"/>
    </row>
    <row r="142" spans="6:44" hidden="1" x14ac:dyDescent="0.25">
      <c r="F142" s="113"/>
      <c r="G142" s="113"/>
      <c r="L142" s="117"/>
      <c r="P142" s="113"/>
      <c r="Q142" s="136"/>
      <c r="R142" s="98"/>
      <c r="S142" s="118"/>
      <c r="T142" s="118"/>
      <c r="V142" s="223"/>
      <c r="X142" s="98"/>
      <c r="Z142" s="98"/>
      <c r="AA142" s="98"/>
      <c r="AB142" s="98"/>
      <c r="AC142" s="298"/>
      <c r="AD142" s="53"/>
      <c r="AE142" s="113"/>
      <c r="AF142" s="113"/>
      <c r="AG142" s="113"/>
      <c r="AH142" s="113"/>
      <c r="AI142" s="113"/>
      <c r="AM142" s="115"/>
      <c r="AO142" s="113"/>
      <c r="AP142" s="113"/>
      <c r="AQ142" s="56"/>
      <c r="AR142" s="404"/>
    </row>
    <row r="143" spans="6:44" hidden="1" x14ac:dyDescent="0.25">
      <c r="F143" s="113"/>
      <c r="G143" s="113"/>
      <c r="L143" s="117"/>
      <c r="P143" s="113"/>
      <c r="Q143" s="136"/>
      <c r="R143" s="98"/>
      <c r="S143" s="118"/>
      <c r="T143" s="118"/>
      <c r="V143" s="223"/>
      <c r="X143" s="98"/>
      <c r="Z143" s="98"/>
      <c r="AA143" s="98"/>
      <c r="AB143" s="98"/>
      <c r="AC143" s="298"/>
      <c r="AD143" s="53"/>
      <c r="AE143" s="113"/>
      <c r="AF143" s="113"/>
      <c r="AG143" s="113"/>
      <c r="AH143" s="113"/>
      <c r="AI143" s="113"/>
      <c r="AM143" s="115"/>
      <c r="AO143" s="113"/>
      <c r="AP143" s="113"/>
      <c r="AQ143" s="56"/>
      <c r="AR143" s="404"/>
    </row>
    <row r="144" spans="6:44" hidden="1" x14ac:dyDescent="0.25">
      <c r="F144" s="113"/>
      <c r="G144" s="113"/>
      <c r="L144" s="117"/>
      <c r="P144" s="113"/>
      <c r="Q144" s="136"/>
      <c r="R144" s="98"/>
      <c r="S144" s="118"/>
      <c r="T144" s="118"/>
      <c r="V144" s="223"/>
      <c r="X144" s="98"/>
      <c r="Z144" s="98"/>
      <c r="AA144" s="98"/>
      <c r="AB144" s="98"/>
      <c r="AC144" s="298"/>
      <c r="AD144" s="53"/>
      <c r="AE144" s="113"/>
      <c r="AF144" s="113"/>
      <c r="AG144" s="113"/>
      <c r="AH144" s="113"/>
      <c r="AI144" s="113"/>
      <c r="AM144" s="115"/>
      <c r="AO144" s="113"/>
      <c r="AP144" s="113"/>
      <c r="AQ144" s="56"/>
      <c r="AR144" s="404"/>
    </row>
    <row r="145" spans="6:44" hidden="1" x14ac:dyDescent="0.25">
      <c r="F145" s="113"/>
      <c r="G145" s="113"/>
      <c r="L145" s="117"/>
      <c r="P145" s="113"/>
      <c r="Q145" s="136"/>
      <c r="R145" s="98"/>
      <c r="S145" s="118"/>
      <c r="T145" s="118"/>
      <c r="V145" s="223"/>
      <c r="X145" s="98"/>
      <c r="Z145" s="98"/>
      <c r="AA145" s="98"/>
      <c r="AB145" s="98"/>
      <c r="AC145" s="298"/>
      <c r="AD145" s="53"/>
      <c r="AE145" s="113"/>
      <c r="AF145" s="113"/>
      <c r="AG145" s="113"/>
      <c r="AH145" s="113"/>
      <c r="AI145" s="113"/>
      <c r="AM145" s="115"/>
      <c r="AO145" s="113"/>
      <c r="AP145" s="113"/>
      <c r="AQ145" s="56"/>
      <c r="AR145" s="404"/>
    </row>
    <row r="146" spans="6:44" hidden="1" x14ac:dyDescent="0.25">
      <c r="F146" s="113"/>
      <c r="G146" s="113"/>
      <c r="L146" s="117"/>
      <c r="P146" s="113"/>
      <c r="Q146" s="136"/>
      <c r="R146" s="98"/>
      <c r="S146" s="118"/>
      <c r="T146" s="118"/>
      <c r="V146" s="223"/>
      <c r="X146" s="98"/>
      <c r="Z146" s="98"/>
      <c r="AA146" s="98"/>
      <c r="AB146" s="98"/>
      <c r="AC146" s="298"/>
      <c r="AD146" s="53"/>
      <c r="AE146" s="113"/>
      <c r="AF146" s="113"/>
      <c r="AG146" s="113"/>
      <c r="AH146" s="113"/>
      <c r="AI146" s="113"/>
      <c r="AM146" s="115"/>
      <c r="AO146" s="113"/>
      <c r="AP146" s="113"/>
      <c r="AQ146" s="56"/>
      <c r="AR146" s="404"/>
    </row>
    <row r="147" spans="6:44" hidden="1" x14ac:dyDescent="0.25">
      <c r="F147" s="113"/>
      <c r="G147" s="113"/>
      <c r="L147" s="117"/>
      <c r="P147" s="113"/>
      <c r="Q147" s="136"/>
      <c r="R147" s="98"/>
      <c r="S147" s="118"/>
      <c r="T147" s="118"/>
      <c r="V147" s="223"/>
      <c r="X147" s="98"/>
      <c r="Z147" s="98"/>
      <c r="AA147" s="98"/>
      <c r="AB147" s="98"/>
      <c r="AC147" s="298"/>
      <c r="AD147" s="53"/>
      <c r="AE147" s="113"/>
      <c r="AF147" s="113"/>
      <c r="AG147" s="113"/>
      <c r="AH147" s="113"/>
      <c r="AI147" s="113"/>
      <c r="AM147" s="115"/>
      <c r="AO147" s="113"/>
      <c r="AP147" s="113"/>
      <c r="AQ147" s="56"/>
      <c r="AR147" s="404"/>
    </row>
    <row r="148" spans="6:44" hidden="1" x14ac:dyDescent="0.25">
      <c r="F148" s="113"/>
      <c r="G148" s="113"/>
      <c r="L148" s="117"/>
      <c r="P148" s="113"/>
      <c r="Q148" s="136"/>
      <c r="R148" s="98"/>
      <c r="S148" s="118"/>
      <c r="T148" s="118"/>
      <c r="V148" s="223"/>
      <c r="X148" s="98"/>
      <c r="Z148" s="98"/>
      <c r="AA148" s="98"/>
      <c r="AB148" s="98"/>
      <c r="AC148" s="298"/>
      <c r="AD148" s="53"/>
      <c r="AE148" s="113"/>
      <c r="AF148" s="113"/>
      <c r="AG148" s="113"/>
      <c r="AH148" s="113"/>
      <c r="AI148" s="113"/>
      <c r="AM148" s="115"/>
      <c r="AO148" s="113"/>
      <c r="AP148" s="113"/>
      <c r="AQ148" s="56"/>
      <c r="AR148" s="404"/>
    </row>
    <row r="149" spans="6:44" hidden="1" x14ac:dyDescent="0.25">
      <c r="F149" s="113"/>
      <c r="G149" s="113"/>
      <c r="L149" s="117"/>
      <c r="P149" s="113"/>
      <c r="Q149" s="136"/>
      <c r="R149" s="98"/>
      <c r="S149" s="118"/>
      <c r="T149" s="118"/>
      <c r="V149" s="223"/>
      <c r="X149" s="98"/>
      <c r="Z149" s="98"/>
      <c r="AA149" s="98"/>
      <c r="AB149" s="98"/>
      <c r="AC149" s="298"/>
      <c r="AD149" s="53"/>
      <c r="AE149" s="113"/>
      <c r="AF149" s="113"/>
      <c r="AG149" s="113"/>
      <c r="AH149" s="113"/>
      <c r="AI149" s="113"/>
      <c r="AM149" s="115"/>
      <c r="AO149" s="113"/>
      <c r="AP149" s="113"/>
      <c r="AQ149" s="56"/>
      <c r="AR149" s="404"/>
    </row>
    <row r="150" spans="6:44" hidden="1" x14ac:dyDescent="0.25">
      <c r="F150" s="113"/>
      <c r="G150" s="113"/>
      <c r="L150" s="117"/>
      <c r="P150" s="113"/>
      <c r="Q150" s="136"/>
      <c r="R150" s="98"/>
      <c r="S150" s="118"/>
      <c r="T150" s="118"/>
      <c r="V150" s="223"/>
      <c r="X150" s="98"/>
      <c r="Z150" s="98"/>
      <c r="AA150" s="98"/>
      <c r="AB150" s="98"/>
      <c r="AC150" s="298"/>
      <c r="AD150" s="53"/>
      <c r="AE150" s="113"/>
      <c r="AF150" s="113"/>
      <c r="AG150" s="113"/>
      <c r="AH150" s="113"/>
      <c r="AI150" s="113"/>
      <c r="AM150" s="115"/>
      <c r="AO150" s="113"/>
      <c r="AP150" s="113"/>
      <c r="AQ150" s="56"/>
      <c r="AR150" s="404"/>
    </row>
    <row r="151" spans="6:44" hidden="1" x14ac:dyDescent="0.25">
      <c r="F151" s="113"/>
      <c r="G151" s="113"/>
      <c r="L151" s="117"/>
      <c r="P151" s="113"/>
      <c r="Q151" s="136"/>
      <c r="R151" s="98"/>
      <c r="S151" s="118"/>
      <c r="T151" s="118"/>
      <c r="V151" s="223"/>
      <c r="X151" s="98"/>
      <c r="Z151" s="98"/>
      <c r="AA151" s="98"/>
      <c r="AB151" s="98"/>
      <c r="AC151" s="298"/>
      <c r="AD151" s="53"/>
      <c r="AE151" s="113"/>
      <c r="AF151" s="113"/>
      <c r="AG151" s="113"/>
      <c r="AH151" s="113"/>
      <c r="AI151" s="113"/>
      <c r="AM151" s="115"/>
      <c r="AO151" s="113"/>
      <c r="AP151" s="113"/>
      <c r="AQ151" s="56"/>
      <c r="AR151" s="404"/>
    </row>
    <row r="152" spans="6:44" hidden="1" x14ac:dyDescent="0.25">
      <c r="F152" s="113"/>
      <c r="G152" s="113"/>
      <c r="L152" s="117"/>
      <c r="P152" s="113"/>
      <c r="Q152" s="136"/>
      <c r="R152" s="98"/>
      <c r="S152" s="118"/>
      <c r="T152" s="118"/>
      <c r="V152" s="223"/>
      <c r="X152" s="98"/>
      <c r="Z152" s="98"/>
      <c r="AA152" s="98"/>
      <c r="AB152" s="98"/>
      <c r="AC152" s="298"/>
      <c r="AD152" s="53"/>
      <c r="AE152" s="113"/>
      <c r="AF152" s="113"/>
      <c r="AG152" s="113"/>
      <c r="AH152" s="113"/>
      <c r="AI152" s="113"/>
      <c r="AM152" s="115"/>
      <c r="AO152" s="113"/>
      <c r="AP152" s="113"/>
      <c r="AQ152" s="56"/>
      <c r="AR152" s="404"/>
    </row>
    <row r="153" spans="6:44" hidden="1" x14ac:dyDescent="0.25">
      <c r="F153" s="113"/>
      <c r="G153" s="113"/>
      <c r="L153" s="117"/>
      <c r="P153" s="113"/>
      <c r="Q153" s="136"/>
      <c r="R153" s="98"/>
      <c r="S153" s="118"/>
      <c r="T153" s="118"/>
      <c r="V153" s="223"/>
      <c r="X153" s="98"/>
      <c r="Z153" s="98"/>
      <c r="AA153" s="98"/>
      <c r="AB153" s="98"/>
      <c r="AC153" s="298"/>
      <c r="AD153" s="53"/>
      <c r="AE153" s="113"/>
      <c r="AF153" s="113"/>
      <c r="AG153" s="113"/>
      <c r="AH153" s="113"/>
      <c r="AI153" s="113"/>
      <c r="AM153" s="115"/>
      <c r="AO153" s="113"/>
      <c r="AP153" s="113"/>
      <c r="AQ153" s="56"/>
      <c r="AR153" s="404"/>
    </row>
    <row r="154" spans="6:44" hidden="1" x14ac:dyDescent="0.25">
      <c r="F154" s="113"/>
      <c r="G154" s="113"/>
      <c r="L154" s="117"/>
      <c r="P154" s="113"/>
      <c r="Q154" s="136"/>
      <c r="R154" s="98"/>
      <c r="S154" s="118"/>
      <c r="T154" s="118"/>
      <c r="V154" s="223"/>
      <c r="X154" s="98"/>
      <c r="Z154" s="98"/>
      <c r="AA154" s="98"/>
      <c r="AB154" s="98"/>
      <c r="AC154" s="298"/>
      <c r="AD154" s="53"/>
      <c r="AE154" s="113"/>
      <c r="AF154" s="113"/>
      <c r="AG154" s="113"/>
      <c r="AH154" s="113"/>
      <c r="AI154" s="113"/>
      <c r="AM154" s="115"/>
      <c r="AO154" s="113"/>
      <c r="AP154" s="113"/>
      <c r="AQ154" s="56"/>
      <c r="AR154" s="404"/>
    </row>
    <row r="155" spans="6:44" hidden="1" x14ac:dyDescent="0.25">
      <c r="F155" s="113"/>
      <c r="G155" s="113"/>
      <c r="L155" s="117"/>
      <c r="P155" s="113"/>
      <c r="Q155" s="136"/>
      <c r="R155" s="98"/>
      <c r="S155" s="118"/>
      <c r="T155" s="118"/>
      <c r="V155" s="223"/>
      <c r="X155" s="98"/>
      <c r="Z155" s="98"/>
      <c r="AA155" s="98"/>
      <c r="AB155" s="98"/>
      <c r="AC155" s="298"/>
      <c r="AD155" s="53"/>
      <c r="AE155" s="113"/>
      <c r="AF155" s="113"/>
      <c r="AG155" s="113"/>
      <c r="AH155" s="113"/>
      <c r="AI155" s="113"/>
      <c r="AM155" s="115"/>
      <c r="AO155" s="113"/>
      <c r="AP155" s="113"/>
      <c r="AQ155" s="56"/>
      <c r="AR155" s="404"/>
    </row>
    <row r="156" spans="6:44" hidden="1" x14ac:dyDescent="0.25">
      <c r="F156" s="113"/>
      <c r="G156" s="113"/>
      <c r="L156" s="117"/>
      <c r="P156" s="113"/>
      <c r="Q156" s="136"/>
      <c r="R156" s="98"/>
      <c r="S156" s="118"/>
      <c r="T156" s="118"/>
      <c r="V156" s="223"/>
      <c r="X156" s="98"/>
      <c r="Z156" s="98"/>
      <c r="AA156" s="98"/>
      <c r="AB156" s="98"/>
      <c r="AC156" s="298"/>
      <c r="AD156" s="53"/>
      <c r="AE156" s="113"/>
      <c r="AF156" s="113"/>
      <c r="AG156" s="113"/>
      <c r="AH156" s="113"/>
      <c r="AI156" s="113"/>
      <c r="AM156" s="115"/>
      <c r="AO156" s="113"/>
      <c r="AP156" s="113"/>
      <c r="AQ156" s="56"/>
      <c r="AR156" s="404"/>
    </row>
    <row r="157" spans="6:44" hidden="1" x14ac:dyDescent="0.25">
      <c r="F157" s="113"/>
      <c r="G157" s="113"/>
      <c r="L157" s="117"/>
      <c r="P157" s="113"/>
      <c r="Q157" s="136"/>
      <c r="R157" s="98"/>
      <c r="S157" s="118"/>
      <c r="T157" s="118"/>
      <c r="V157" s="223"/>
      <c r="X157" s="98"/>
      <c r="Z157" s="98"/>
      <c r="AA157" s="98"/>
      <c r="AB157" s="98"/>
      <c r="AC157" s="298"/>
      <c r="AD157" s="53"/>
      <c r="AE157" s="113"/>
      <c r="AF157" s="113"/>
      <c r="AG157" s="113"/>
      <c r="AH157" s="113"/>
      <c r="AI157" s="113"/>
      <c r="AM157" s="115"/>
      <c r="AO157" s="113"/>
      <c r="AP157" s="113"/>
      <c r="AQ157" s="56"/>
      <c r="AR157" s="404"/>
    </row>
    <row r="158" spans="6:44" hidden="1" x14ac:dyDescent="0.25">
      <c r="F158" s="113"/>
      <c r="G158" s="113"/>
      <c r="L158" s="117"/>
      <c r="P158" s="113"/>
      <c r="Q158" s="136"/>
      <c r="R158" s="98"/>
      <c r="S158" s="118"/>
      <c r="T158" s="118"/>
      <c r="V158" s="223"/>
      <c r="X158" s="98"/>
      <c r="Z158" s="98"/>
      <c r="AA158" s="98"/>
      <c r="AB158" s="98"/>
      <c r="AC158" s="298"/>
      <c r="AD158" s="53"/>
      <c r="AE158" s="113"/>
      <c r="AF158" s="113"/>
      <c r="AG158" s="113"/>
      <c r="AH158" s="113"/>
      <c r="AI158" s="113"/>
      <c r="AM158" s="115"/>
      <c r="AO158" s="113"/>
      <c r="AP158" s="113"/>
      <c r="AQ158" s="56"/>
      <c r="AR158" s="404"/>
    </row>
    <row r="159" spans="6:44" hidden="1" x14ac:dyDescent="0.25">
      <c r="F159" s="113"/>
      <c r="G159" s="113"/>
      <c r="L159" s="117"/>
      <c r="P159" s="113"/>
      <c r="Q159" s="136"/>
      <c r="R159" s="98"/>
      <c r="S159" s="118"/>
      <c r="T159" s="118"/>
      <c r="V159" s="223"/>
      <c r="X159" s="98"/>
      <c r="Z159" s="98"/>
      <c r="AA159" s="98"/>
      <c r="AB159" s="98"/>
      <c r="AC159" s="298"/>
      <c r="AD159" s="53"/>
      <c r="AE159" s="113"/>
      <c r="AF159" s="113"/>
      <c r="AG159" s="113"/>
      <c r="AH159" s="113"/>
      <c r="AI159" s="113"/>
      <c r="AM159" s="115"/>
      <c r="AO159" s="113"/>
      <c r="AP159" s="113"/>
      <c r="AQ159" s="56"/>
      <c r="AR159" s="404"/>
    </row>
    <row r="160" spans="6:44" hidden="1" x14ac:dyDescent="0.25">
      <c r="F160" s="113"/>
      <c r="G160" s="113"/>
      <c r="L160" s="117"/>
      <c r="P160" s="113"/>
      <c r="Q160" s="136"/>
      <c r="R160" s="98"/>
      <c r="S160" s="118"/>
      <c r="T160" s="118"/>
      <c r="V160" s="223"/>
      <c r="X160" s="98"/>
      <c r="Z160" s="98"/>
      <c r="AA160" s="98"/>
      <c r="AB160" s="98"/>
      <c r="AC160" s="298"/>
      <c r="AD160" s="53"/>
      <c r="AE160" s="113"/>
      <c r="AF160" s="113"/>
      <c r="AG160" s="113"/>
      <c r="AH160" s="113"/>
      <c r="AI160" s="113"/>
      <c r="AM160" s="115"/>
      <c r="AO160" s="113"/>
      <c r="AP160" s="113"/>
      <c r="AQ160" s="56"/>
      <c r="AR160" s="404"/>
    </row>
    <row r="161" spans="6:44" hidden="1" x14ac:dyDescent="0.25">
      <c r="F161" s="113"/>
      <c r="G161" s="113"/>
      <c r="L161" s="117"/>
      <c r="P161" s="113"/>
      <c r="Q161" s="136"/>
      <c r="R161" s="98"/>
      <c r="S161" s="118"/>
      <c r="T161" s="118"/>
      <c r="V161" s="223"/>
      <c r="X161" s="98"/>
      <c r="Z161" s="98"/>
      <c r="AA161" s="98"/>
      <c r="AB161" s="98"/>
      <c r="AC161" s="298"/>
      <c r="AD161" s="53"/>
      <c r="AE161" s="113"/>
      <c r="AF161" s="113"/>
      <c r="AG161" s="113"/>
      <c r="AH161" s="113"/>
      <c r="AI161" s="113"/>
      <c r="AM161" s="115"/>
      <c r="AO161" s="113"/>
      <c r="AP161" s="113"/>
      <c r="AQ161" s="56"/>
      <c r="AR161" s="404"/>
    </row>
    <row r="162" spans="6:44" hidden="1" x14ac:dyDescent="0.25">
      <c r="F162" s="113"/>
      <c r="G162" s="113"/>
      <c r="L162" s="117"/>
      <c r="P162" s="113"/>
      <c r="Q162" s="136"/>
      <c r="R162" s="98"/>
      <c r="S162" s="118"/>
      <c r="T162" s="118"/>
      <c r="V162" s="223"/>
      <c r="X162" s="98"/>
      <c r="Z162" s="98"/>
      <c r="AA162" s="98"/>
      <c r="AB162" s="98"/>
      <c r="AC162" s="298"/>
      <c r="AD162" s="53"/>
      <c r="AE162" s="113"/>
      <c r="AF162" s="113"/>
      <c r="AG162" s="113"/>
      <c r="AH162" s="113"/>
      <c r="AI162" s="113"/>
      <c r="AM162" s="115"/>
      <c r="AO162" s="113"/>
      <c r="AP162" s="113"/>
      <c r="AQ162" s="56"/>
      <c r="AR162" s="404"/>
    </row>
    <row r="163" spans="6:44" hidden="1" x14ac:dyDescent="0.25">
      <c r="F163" s="113"/>
      <c r="G163" s="113"/>
      <c r="L163" s="117"/>
      <c r="P163" s="113"/>
      <c r="Q163" s="136"/>
      <c r="R163" s="98"/>
      <c r="S163" s="118"/>
      <c r="T163" s="118"/>
      <c r="V163" s="223"/>
      <c r="X163" s="98"/>
      <c r="Z163" s="98"/>
      <c r="AA163" s="98"/>
      <c r="AB163" s="98"/>
      <c r="AC163" s="298"/>
      <c r="AD163" s="53"/>
      <c r="AE163" s="113"/>
      <c r="AF163" s="113"/>
      <c r="AG163" s="113"/>
      <c r="AH163" s="113"/>
      <c r="AI163" s="113"/>
      <c r="AM163" s="115"/>
      <c r="AO163" s="113"/>
      <c r="AP163" s="113"/>
      <c r="AQ163" s="56"/>
      <c r="AR163" s="404"/>
    </row>
    <row r="164" spans="6:44" hidden="1" x14ac:dyDescent="0.25">
      <c r="F164" s="113"/>
      <c r="G164" s="113"/>
      <c r="L164" s="117"/>
      <c r="P164" s="113"/>
      <c r="Q164" s="136"/>
      <c r="R164" s="98"/>
      <c r="S164" s="118"/>
      <c r="T164" s="118"/>
      <c r="V164" s="223"/>
      <c r="X164" s="98"/>
      <c r="Z164" s="98"/>
      <c r="AA164" s="98"/>
      <c r="AB164" s="98"/>
      <c r="AC164" s="298"/>
      <c r="AD164" s="53"/>
      <c r="AE164" s="113"/>
      <c r="AF164" s="113"/>
      <c r="AG164" s="113"/>
      <c r="AH164" s="113"/>
      <c r="AI164" s="113"/>
      <c r="AM164" s="115"/>
      <c r="AO164" s="113"/>
      <c r="AP164" s="113"/>
      <c r="AQ164" s="56"/>
      <c r="AR164" s="404"/>
    </row>
    <row r="165" spans="6:44" hidden="1" x14ac:dyDescent="0.25">
      <c r="F165" s="113"/>
      <c r="G165" s="113"/>
      <c r="L165" s="117"/>
      <c r="P165" s="113"/>
      <c r="Q165" s="136"/>
      <c r="R165" s="98"/>
      <c r="S165" s="118"/>
      <c r="T165" s="118"/>
      <c r="V165" s="223"/>
      <c r="X165" s="98"/>
      <c r="Z165" s="98"/>
      <c r="AA165" s="98"/>
      <c r="AB165" s="98"/>
      <c r="AC165" s="298"/>
      <c r="AD165" s="53"/>
      <c r="AE165" s="113"/>
      <c r="AF165" s="113"/>
      <c r="AG165" s="113"/>
      <c r="AH165" s="113"/>
      <c r="AI165" s="113"/>
      <c r="AM165" s="115"/>
      <c r="AO165" s="113"/>
      <c r="AP165" s="113"/>
      <c r="AQ165" s="56"/>
      <c r="AR165" s="404"/>
    </row>
    <row r="166" spans="6:44" hidden="1" x14ac:dyDescent="0.25">
      <c r="F166" s="113"/>
      <c r="G166" s="113"/>
      <c r="L166" s="117"/>
      <c r="P166" s="113"/>
      <c r="Q166" s="136"/>
      <c r="R166" s="98"/>
      <c r="S166" s="118"/>
      <c r="T166" s="118"/>
      <c r="V166" s="223"/>
      <c r="X166" s="98"/>
      <c r="Z166" s="98"/>
      <c r="AA166" s="98"/>
      <c r="AB166" s="98"/>
      <c r="AC166" s="298"/>
      <c r="AD166" s="53"/>
      <c r="AE166" s="113"/>
      <c r="AF166" s="113"/>
      <c r="AG166" s="113"/>
      <c r="AH166" s="113"/>
      <c r="AI166" s="113"/>
      <c r="AM166" s="115"/>
      <c r="AO166" s="113"/>
      <c r="AP166" s="113"/>
      <c r="AQ166" s="56"/>
      <c r="AR166" s="404"/>
    </row>
    <row r="167" spans="6:44" hidden="1" x14ac:dyDescent="0.25">
      <c r="F167" s="113"/>
      <c r="G167" s="113"/>
      <c r="L167" s="117"/>
      <c r="P167" s="113"/>
      <c r="Q167" s="136"/>
      <c r="R167" s="98"/>
      <c r="S167" s="118"/>
      <c r="T167" s="118"/>
      <c r="V167" s="223"/>
      <c r="X167" s="98"/>
      <c r="Z167" s="98"/>
      <c r="AA167" s="98"/>
      <c r="AB167" s="98"/>
      <c r="AC167" s="298"/>
      <c r="AD167" s="53"/>
      <c r="AE167" s="113"/>
      <c r="AF167" s="113"/>
      <c r="AG167" s="113"/>
      <c r="AH167" s="113"/>
      <c r="AI167" s="113"/>
      <c r="AM167" s="115"/>
      <c r="AO167" s="113"/>
      <c r="AP167" s="113"/>
      <c r="AQ167" s="56"/>
      <c r="AR167" s="404"/>
    </row>
    <row r="168" spans="6:44" hidden="1" x14ac:dyDescent="0.25">
      <c r="F168" s="113"/>
      <c r="G168" s="113"/>
      <c r="L168" s="117"/>
      <c r="P168" s="113"/>
      <c r="Q168" s="136"/>
      <c r="R168" s="98"/>
      <c r="S168" s="118"/>
      <c r="T168" s="118"/>
      <c r="V168" s="223"/>
      <c r="X168" s="98"/>
      <c r="Z168" s="98"/>
      <c r="AA168" s="98"/>
      <c r="AB168" s="98"/>
      <c r="AC168" s="298"/>
      <c r="AD168" s="53"/>
      <c r="AE168" s="113"/>
      <c r="AF168" s="113"/>
      <c r="AG168" s="113"/>
      <c r="AH168" s="113"/>
      <c r="AI168" s="113"/>
      <c r="AM168" s="115"/>
      <c r="AO168" s="113"/>
      <c r="AP168" s="113"/>
      <c r="AQ168" s="56"/>
      <c r="AR168" s="404"/>
    </row>
    <row r="169" spans="6:44" hidden="1" x14ac:dyDescent="0.25">
      <c r="F169" s="113"/>
      <c r="G169" s="113"/>
      <c r="L169" s="117"/>
      <c r="P169" s="113"/>
      <c r="Q169" s="136"/>
      <c r="R169" s="98"/>
      <c r="S169" s="118"/>
      <c r="T169" s="118"/>
      <c r="V169" s="223"/>
      <c r="X169" s="98"/>
      <c r="Z169" s="98"/>
      <c r="AA169" s="98"/>
      <c r="AB169" s="98"/>
      <c r="AC169" s="298"/>
      <c r="AD169" s="53"/>
      <c r="AE169" s="113"/>
      <c r="AF169" s="113"/>
      <c r="AG169" s="113"/>
      <c r="AH169" s="113"/>
      <c r="AI169" s="113"/>
      <c r="AM169" s="115"/>
      <c r="AO169" s="113"/>
      <c r="AP169" s="113"/>
      <c r="AQ169" s="56"/>
      <c r="AR169" s="404"/>
    </row>
    <row r="170" spans="6:44" hidden="1" x14ac:dyDescent="0.25">
      <c r="F170" s="113"/>
      <c r="G170" s="113"/>
      <c r="L170" s="117"/>
      <c r="P170" s="113"/>
      <c r="Q170" s="136"/>
      <c r="R170" s="98"/>
      <c r="S170" s="118"/>
      <c r="T170" s="118"/>
      <c r="V170" s="223"/>
      <c r="X170" s="98"/>
      <c r="Z170" s="98"/>
      <c r="AA170" s="98"/>
      <c r="AB170" s="98"/>
      <c r="AC170" s="298"/>
      <c r="AD170" s="53"/>
      <c r="AE170" s="113"/>
      <c r="AF170" s="113"/>
      <c r="AG170" s="113"/>
      <c r="AH170" s="113"/>
      <c r="AI170" s="113"/>
      <c r="AM170" s="115"/>
      <c r="AO170" s="113"/>
      <c r="AP170" s="113"/>
      <c r="AQ170" s="56"/>
      <c r="AR170" s="404"/>
    </row>
    <row r="171" spans="6:44" hidden="1" x14ac:dyDescent="0.25">
      <c r="F171" s="113"/>
      <c r="G171" s="113"/>
      <c r="L171" s="117"/>
      <c r="P171" s="113"/>
      <c r="Q171" s="136"/>
      <c r="R171" s="98"/>
      <c r="S171" s="118"/>
      <c r="T171" s="118"/>
      <c r="V171" s="223"/>
      <c r="X171" s="98"/>
      <c r="Z171" s="98"/>
      <c r="AA171" s="98"/>
      <c r="AB171" s="98"/>
      <c r="AC171" s="298"/>
      <c r="AD171" s="53"/>
      <c r="AE171" s="113"/>
      <c r="AF171" s="113"/>
      <c r="AG171" s="113"/>
      <c r="AH171" s="113"/>
      <c r="AI171" s="113"/>
      <c r="AM171" s="115"/>
      <c r="AO171" s="113"/>
      <c r="AP171" s="113"/>
      <c r="AQ171" s="56"/>
      <c r="AR171" s="404"/>
    </row>
    <row r="172" spans="6:44" hidden="1" x14ac:dyDescent="0.25">
      <c r="F172" s="113"/>
      <c r="G172" s="113"/>
      <c r="L172" s="117"/>
      <c r="P172" s="113"/>
      <c r="Q172" s="136"/>
      <c r="R172" s="98"/>
      <c r="S172" s="118"/>
      <c r="T172" s="118"/>
      <c r="V172" s="223"/>
      <c r="X172" s="98"/>
      <c r="Z172" s="98"/>
      <c r="AA172" s="98"/>
      <c r="AB172" s="98"/>
      <c r="AC172" s="298"/>
      <c r="AD172" s="53"/>
      <c r="AE172" s="113"/>
      <c r="AF172" s="113"/>
      <c r="AG172" s="113"/>
      <c r="AH172" s="113"/>
      <c r="AI172" s="113"/>
      <c r="AM172" s="115"/>
      <c r="AO172" s="113"/>
      <c r="AP172" s="113"/>
      <c r="AQ172" s="56"/>
      <c r="AR172" s="404"/>
    </row>
    <row r="173" spans="6:44" hidden="1" x14ac:dyDescent="0.25">
      <c r="F173" s="113"/>
      <c r="G173" s="113"/>
      <c r="L173" s="117"/>
      <c r="P173" s="113"/>
      <c r="Q173" s="136"/>
      <c r="R173" s="98"/>
      <c r="S173" s="118"/>
      <c r="T173" s="118"/>
      <c r="V173" s="223"/>
      <c r="X173" s="98"/>
      <c r="Z173" s="98"/>
      <c r="AA173" s="98"/>
      <c r="AB173" s="98"/>
      <c r="AC173" s="298"/>
      <c r="AD173" s="53"/>
      <c r="AE173" s="113"/>
      <c r="AF173" s="113"/>
      <c r="AG173" s="113"/>
      <c r="AH173" s="113"/>
      <c r="AI173" s="113"/>
      <c r="AM173" s="115"/>
      <c r="AO173" s="113"/>
      <c r="AP173" s="113"/>
      <c r="AQ173" s="56"/>
      <c r="AR173" s="404"/>
    </row>
    <row r="174" spans="6:44" hidden="1" x14ac:dyDescent="0.25">
      <c r="F174" s="113"/>
      <c r="G174" s="113"/>
      <c r="L174" s="117"/>
      <c r="P174" s="113"/>
      <c r="Q174" s="136"/>
      <c r="R174" s="98"/>
      <c r="S174" s="118"/>
      <c r="T174" s="118"/>
      <c r="V174" s="223"/>
      <c r="X174" s="98"/>
      <c r="Z174" s="98"/>
      <c r="AA174" s="98"/>
      <c r="AB174" s="98"/>
      <c r="AC174" s="298"/>
      <c r="AD174" s="53"/>
      <c r="AE174" s="113"/>
      <c r="AF174" s="113"/>
      <c r="AG174" s="113"/>
      <c r="AH174" s="113"/>
      <c r="AI174" s="113"/>
      <c r="AM174" s="115"/>
      <c r="AO174" s="113"/>
      <c r="AP174" s="113"/>
      <c r="AQ174" s="56"/>
      <c r="AR174" s="404"/>
    </row>
    <row r="175" spans="6:44" hidden="1" x14ac:dyDescent="0.25">
      <c r="F175" s="113"/>
      <c r="G175" s="113"/>
      <c r="L175" s="117"/>
      <c r="P175" s="113"/>
      <c r="Q175" s="136"/>
      <c r="R175" s="98"/>
      <c r="S175" s="118"/>
      <c r="T175" s="118"/>
      <c r="V175" s="223"/>
      <c r="X175" s="98"/>
      <c r="Z175" s="98"/>
      <c r="AA175" s="98"/>
      <c r="AB175" s="98"/>
      <c r="AC175" s="298"/>
      <c r="AD175" s="53"/>
      <c r="AE175" s="113"/>
      <c r="AF175" s="113"/>
      <c r="AG175" s="113"/>
      <c r="AH175" s="113"/>
      <c r="AI175" s="113"/>
      <c r="AM175" s="115"/>
      <c r="AO175" s="113"/>
      <c r="AP175" s="113"/>
      <c r="AQ175" s="56"/>
      <c r="AR175" s="404"/>
    </row>
    <row r="176" spans="6:44" hidden="1" x14ac:dyDescent="0.25">
      <c r="F176" s="113"/>
      <c r="G176" s="113"/>
      <c r="L176" s="117"/>
      <c r="P176" s="113"/>
      <c r="Q176" s="136"/>
      <c r="R176" s="98"/>
      <c r="S176" s="118"/>
      <c r="T176" s="118"/>
      <c r="V176" s="223"/>
      <c r="X176" s="98"/>
      <c r="Z176" s="98"/>
      <c r="AA176" s="98"/>
      <c r="AB176" s="98"/>
      <c r="AC176" s="298"/>
      <c r="AD176" s="53"/>
      <c r="AE176" s="113"/>
      <c r="AF176" s="113"/>
      <c r="AG176" s="113"/>
      <c r="AH176" s="113"/>
      <c r="AI176" s="113"/>
      <c r="AM176" s="115"/>
      <c r="AO176" s="113"/>
      <c r="AP176" s="113"/>
      <c r="AQ176" s="56"/>
      <c r="AR176" s="404"/>
    </row>
    <row r="177" spans="6:44" hidden="1" x14ac:dyDescent="0.25">
      <c r="F177" s="113"/>
      <c r="G177" s="113"/>
      <c r="L177" s="117"/>
      <c r="P177" s="113"/>
      <c r="Q177" s="136"/>
      <c r="R177" s="98"/>
      <c r="S177" s="118"/>
      <c r="T177" s="118"/>
      <c r="V177" s="223"/>
      <c r="X177" s="98"/>
      <c r="Z177" s="98"/>
      <c r="AA177" s="98"/>
      <c r="AB177" s="98"/>
      <c r="AC177" s="298"/>
      <c r="AD177" s="53"/>
      <c r="AE177" s="113"/>
      <c r="AF177" s="113"/>
      <c r="AG177" s="113"/>
      <c r="AH177" s="113"/>
      <c r="AI177" s="113"/>
      <c r="AM177" s="115"/>
      <c r="AO177" s="113"/>
      <c r="AP177" s="113"/>
      <c r="AQ177" s="56"/>
      <c r="AR177" s="404"/>
    </row>
    <row r="178" spans="6:44" hidden="1" x14ac:dyDescent="0.25">
      <c r="F178" s="113"/>
      <c r="G178" s="113"/>
      <c r="L178" s="117"/>
      <c r="P178" s="113"/>
      <c r="Q178" s="136"/>
      <c r="R178" s="98"/>
      <c r="S178" s="118"/>
      <c r="T178" s="118"/>
      <c r="V178" s="223"/>
      <c r="X178" s="98"/>
      <c r="Z178" s="98"/>
      <c r="AA178" s="98"/>
      <c r="AB178" s="98"/>
      <c r="AC178" s="298"/>
      <c r="AD178" s="53"/>
      <c r="AE178" s="113"/>
      <c r="AF178" s="113"/>
      <c r="AG178" s="113"/>
      <c r="AH178" s="113"/>
      <c r="AI178" s="113"/>
      <c r="AM178" s="115"/>
      <c r="AO178" s="113"/>
      <c r="AP178" s="113"/>
      <c r="AQ178" s="56"/>
      <c r="AR178" s="404"/>
    </row>
    <row r="179" spans="6:44" hidden="1" x14ac:dyDescent="0.25">
      <c r="F179" s="113"/>
      <c r="G179" s="113"/>
      <c r="L179" s="117"/>
      <c r="P179" s="113"/>
      <c r="Q179" s="136"/>
      <c r="R179" s="98"/>
      <c r="S179" s="118"/>
      <c r="T179" s="118"/>
      <c r="V179" s="223"/>
      <c r="X179" s="98"/>
      <c r="Z179" s="98"/>
      <c r="AA179" s="98"/>
      <c r="AB179" s="98"/>
      <c r="AC179" s="298"/>
      <c r="AD179" s="53"/>
      <c r="AE179" s="113"/>
      <c r="AF179" s="113"/>
      <c r="AG179" s="113"/>
      <c r="AH179" s="113"/>
      <c r="AI179" s="113"/>
      <c r="AM179" s="115"/>
      <c r="AO179" s="113"/>
      <c r="AP179" s="113"/>
      <c r="AQ179" s="56"/>
      <c r="AR179" s="404"/>
    </row>
    <row r="180" spans="6:44" hidden="1" x14ac:dyDescent="0.25">
      <c r="F180" s="113"/>
      <c r="G180" s="113"/>
      <c r="L180" s="117"/>
      <c r="P180" s="113"/>
      <c r="Q180" s="136"/>
      <c r="R180" s="98"/>
      <c r="S180" s="118"/>
      <c r="T180" s="118"/>
      <c r="V180" s="223"/>
      <c r="X180" s="98"/>
      <c r="Z180" s="98"/>
      <c r="AA180" s="98"/>
      <c r="AB180" s="98"/>
      <c r="AC180" s="298"/>
      <c r="AD180" s="53"/>
      <c r="AE180" s="113"/>
      <c r="AF180" s="113"/>
      <c r="AG180" s="113"/>
      <c r="AH180" s="113"/>
      <c r="AI180" s="113"/>
      <c r="AM180" s="115"/>
      <c r="AO180" s="113"/>
      <c r="AP180" s="113"/>
      <c r="AQ180" s="56"/>
      <c r="AR180" s="404"/>
    </row>
    <row r="181" spans="6:44" hidden="1" x14ac:dyDescent="0.25">
      <c r="F181" s="113"/>
      <c r="G181" s="113"/>
      <c r="L181" s="117"/>
      <c r="P181" s="113"/>
      <c r="Q181" s="136"/>
      <c r="R181" s="98"/>
      <c r="S181" s="118"/>
      <c r="T181" s="118"/>
      <c r="V181" s="223"/>
      <c r="X181" s="98"/>
      <c r="Z181" s="98"/>
      <c r="AA181" s="98"/>
      <c r="AB181" s="98"/>
      <c r="AC181" s="298"/>
      <c r="AD181" s="53"/>
      <c r="AE181" s="113"/>
      <c r="AF181" s="113"/>
      <c r="AG181" s="113"/>
      <c r="AH181" s="113"/>
      <c r="AI181" s="113"/>
      <c r="AM181" s="115"/>
      <c r="AO181" s="113"/>
      <c r="AP181" s="113"/>
      <c r="AQ181" s="56"/>
      <c r="AR181" s="404"/>
    </row>
    <row r="182" spans="6:44" hidden="1" x14ac:dyDescent="0.25">
      <c r="F182" s="113"/>
      <c r="G182" s="113"/>
      <c r="L182" s="117"/>
      <c r="P182" s="113"/>
      <c r="Q182" s="136"/>
      <c r="R182" s="98"/>
      <c r="S182" s="118"/>
      <c r="T182" s="118"/>
      <c r="V182" s="223"/>
      <c r="X182" s="98"/>
      <c r="Z182" s="98"/>
      <c r="AA182" s="98"/>
      <c r="AB182" s="98"/>
      <c r="AC182" s="298"/>
      <c r="AD182" s="53"/>
      <c r="AE182" s="113"/>
      <c r="AF182" s="113"/>
      <c r="AG182" s="113"/>
      <c r="AH182" s="113"/>
      <c r="AI182" s="113"/>
      <c r="AM182" s="115"/>
      <c r="AO182" s="113"/>
      <c r="AP182" s="113"/>
      <c r="AQ182" s="56"/>
      <c r="AR182" s="404"/>
    </row>
    <row r="183" spans="6:44" hidden="1" x14ac:dyDescent="0.25">
      <c r="F183" s="113"/>
      <c r="G183" s="113"/>
      <c r="L183" s="117"/>
      <c r="P183" s="113"/>
      <c r="Q183" s="136"/>
      <c r="R183" s="98"/>
      <c r="S183" s="118"/>
      <c r="T183" s="118"/>
      <c r="V183" s="223"/>
      <c r="X183" s="98"/>
      <c r="Z183" s="98"/>
      <c r="AA183" s="98"/>
      <c r="AB183" s="98"/>
      <c r="AC183" s="298"/>
      <c r="AD183" s="53"/>
      <c r="AE183" s="113"/>
      <c r="AF183" s="113"/>
      <c r="AG183" s="113"/>
      <c r="AH183" s="113"/>
      <c r="AI183" s="113"/>
      <c r="AM183" s="115"/>
      <c r="AO183" s="113"/>
      <c r="AP183" s="113"/>
      <c r="AQ183" s="56"/>
      <c r="AR183" s="404"/>
    </row>
    <row r="184" spans="6:44" hidden="1" x14ac:dyDescent="0.25">
      <c r="F184" s="113"/>
      <c r="G184" s="113"/>
      <c r="L184" s="117"/>
      <c r="P184" s="113"/>
      <c r="Q184" s="136"/>
      <c r="R184" s="98"/>
      <c r="S184" s="118"/>
      <c r="T184" s="118"/>
      <c r="V184" s="223"/>
      <c r="X184" s="98"/>
      <c r="Z184" s="98"/>
      <c r="AA184" s="98"/>
      <c r="AB184" s="98"/>
      <c r="AC184" s="298"/>
      <c r="AD184" s="53"/>
      <c r="AE184" s="113"/>
      <c r="AF184" s="113"/>
      <c r="AG184" s="113"/>
      <c r="AH184" s="113"/>
      <c r="AI184" s="113"/>
      <c r="AM184" s="115"/>
      <c r="AO184" s="113"/>
      <c r="AP184" s="113"/>
      <c r="AQ184" s="56"/>
      <c r="AR184" s="404"/>
    </row>
    <row r="185" spans="6:44" hidden="1" x14ac:dyDescent="0.25">
      <c r="F185" s="113"/>
      <c r="G185" s="113"/>
      <c r="L185" s="117"/>
      <c r="P185" s="113"/>
      <c r="Q185" s="136"/>
      <c r="R185" s="98"/>
      <c r="S185" s="118"/>
      <c r="T185" s="118"/>
      <c r="V185" s="223"/>
      <c r="X185" s="98"/>
      <c r="Z185" s="98"/>
      <c r="AA185" s="98"/>
      <c r="AB185" s="98"/>
      <c r="AC185" s="298"/>
      <c r="AD185" s="53"/>
      <c r="AE185" s="113"/>
      <c r="AF185" s="113"/>
      <c r="AG185" s="113"/>
      <c r="AH185" s="113"/>
      <c r="AI185" s="113"/>
      <c r="AM185" s="115"/>
      <c r="AO185" s="113"/>
      <c r="AP185" s="113"/>
      <c r="AQ185" s="56"/>
      <c r="AR185" s="404"/>
    </row>
    <row r="186" spans="6:44" hidden="1" x14ac:dyDescent="0.25">
      <c r="F186" s="113"/>
      <c r="G186" s="113"/>
      <c r="L186" s="117"/>
      <c r="P186" s="113"/>
      <c r="Q186" s="136"/>
      <c r="R186" s="98"/>
      <c r="S186" s="118"/>
      <c r="T186" s="118"/>
      <c r="V186" s="223"/>
      <c r="X186" s="98"/>
      <c r="Z186" s="98"/>
      <c r="AA186" s="98"/>
      <c r="AB186" s="98"/>
      <c r="AC186" s="298"/>
      <c r="AD186" s="53"/>
      <c r="AE186" s="113"/>
      <c r="AF186" s="113"/>
      <c r="AG186" s="113"/>
      <c r="AH186" s="113"/>
      <c r="AI186" s="113"/>
      <c r="AM186" s="115"/>
      <c r="AO186" s="113"/>
      <c r="AP186" s="113"/>
      <c r="AQ186" s="56"/>
      <c r="AR186" s="404"/>
    </row>
    <row r="187" spans="6:44" hidden="1" x14ac:dyDescent="0.25">
      <c r="F187" s="113"/>
      <c r="G187" s="113"/>
      <c r="L187" s="117"/>
      <c r="P187" s="113"/>
      <c r="Q187" s="136"/>
      <c r="R187" s="98"/>
      <c r="S187" s="118"/>
      <c r="T187" s="118"/>
      <c r="V187" s="223"/>
      <c r="X187" s="98"/>
      <c r="Z187" s="98"/>
      <c r="AA187" s="98"/>
      <c r="AB187" s="98"/>
      <c r="AC187" s="298"/>
      <c r="AD187" s="53"/>
      <c r="AE187" s="113"/>
      <c r="AF187" s="113"/>
      <c r="AG187" s="113"/>
      <c r="AH187" s="113"/>
      <c r="AI187" s="113"/>
      <c r="AM187" s="115"/>
      <c r="AO187" s="113"/>
      <c r="AP187" s="113"/>
      <c r="AQ187" s="56"/>
      <c r="AR187" s="404"/>
    </row>
    <row r="188" spans="6:44" hidden="1" x14ac:dyDescent="0.25">
      <c r="F188" s="113"/>
      <c r="G188" s="113"/>
      <c r="L188" s="117"/>
      <c r="P188" s="113"/>
      <c r="Q188" s="136"/>
      <c r="R188" s="98"/>
      <c r="S188" s="118"/>
      <c r="T188" s="118"/>
      <c r="V188" s="223"/>
      <c r="X188" s="98"/>
      <c r="Z188" s="98"/>
      <c r="AA188" s="98"/>
      <c r="AB188" s="98"/>
      <c r="AC188" s="298"/>
      <c r="AD188" s="53"/>
      <c r="AE188" s="113"/>
      <c r="AF188" s="113"/>
      <c r="AG188" s="113"/>
      <c r="AH188" s="113"/>
      <c r="AI188" s="113"/>
      <c r="AM188" s="115"/>
      <c r="AO188" s="113"/>
      <c r="AP188" s="113"/>
      <c r="AQ188" s="56"/>
      <c r="AR188" s="404"/>
    </row>
    <row r="189" spans="6:44" hidden="1" x14ac:dyDescent="0.25">
      <c r="F189" s="113"/>
      <c r="G189" s="113"/>
      <c r="L189" s="117"/>
      <c r="P189" s="113"/>
      <c r="Q189" s="136"/>
      <c r="R189" s="98"/>
      <c r="S189" s="118"/>
      <c r="T189" s="118"/>
      <c r="V189" s="223"/>
      <c r="X189" s="98"/>
      <c r="Z189" s="98"/>
      <c r="AA189" s="98"/>
      <c r="AB189" s="98"/>
      <c r="AC189" s="298"/>
      <c r="AD189" s="53"/>
      <c r="AE189" s="113"/>
      <c r="AF189" s="113"/>
      <c r="AG189" s="113"/>
      <c r="AH189" s="113"/>
      <c r="AI189" s="113"/>
      <c r="AM189" s="115"/>
      <c r="AO189" s="113"/>
      <c r="AP189" s="113"/>
      <c r="AQ189" s="56"/>
      <c r="AR189" s="404"/>
    </row>
    <row r="190" spans="6:44" hidden="1" x14ac:dyDescent="0.25">
      <c r="F190" s="113"/>
      <c r="G190" s="113"/>
      <c r="L190" s="117"/>
      <c r="P190" s="113"/>
      <c r="Q190" s="136"/>
      <c r="R190" s="98"/>
      <c r="S190" s="118"/>
      <c r="T190" s="118"/>
      <c r="V190" s="223"/>
      <c r="X190" s="98"/>
      <c r="Z190" s="98"/>
      <c r="AA190" s="98"/>
      <c r="AB190" s="98"/>
      <c r="AC190" s="298"/>
      <c r="AD190" s="53"/>
      <c r="AE190" s="113"/>
      <c r="AF190" s="113"/>
      <c r="AG190" s="113"/>
      <c r="AH190" s="113"/>
      <c r="AI190" s="113"/>
      <c r="AM190" s="115"/>
      <c r="AO190" s="113"/>
      <c r="AP190" s="113"/>
      <c r="AQ190" s="56"/>
      <c r="AR190" s="404"/>
    </row>
    <row r="191" spans="6:44" hidden="1" x14ac:dyDescent="0.25">
      <c r="F191" s="113"/>
      <c r="G191" s="113"/>
      <c r="L191" s="117"/>
      <c r="P191" s="113"/>
      <c r="Q191" s="136"/>
      <c r="R191" s="98"/>
      <c r="S191" s="118"/>
      <c r="T191" s="118"/>
      <c r="V191" s="223"/>
      <c r="X191" s="98"/>
      <c r="Z191" s="98"/>
      <c r="AA191" s="98"/>
      <c r="AB191" s="98"/>
      <c r="AC191" s="298"/>
      <c r="AD191" s="53"/>
      <c r="AE191" s="113"/>
      <c r="AF191" s="113"/>
      <c r="AG191" s="113"/>
      <c r="AH191" s="113"/>
      <c r="AI191" s="113"/>
      <c r="AM191" s="115"/>
      <c r="AO191" s="113"/>
      <c r="AP191" s="113"/>
      <c r="AQ191" s="56"/>
      <c r="AR191" s="404"/>
    </row>
    <row r="192" spans="6:44" hidden="1" x14ac:dyDescent="0.25">
      <c r="F192" s="113"/>
      <c r="G192" s="113"/>
      <c r="L192" s="117"/>
      <c r="P192" s="113"/>
      <c r="Q192" s="136"/>
      <c r="R192" s="98"/>
      <c r="S192" s="118"/>
      <c r="T192" s="118"/>
      <c r="V192" s="223"/>
      <c r="X192" s="98"/>
      <c r="Z192" s="98"/>
      <c r="AA192" s="98"/>
      <c r="AB192" s="98"/>
      <c r="AC192" s="298"/>
      <c r="AD192" s="53"/>
      <c r="AE192" s="113"/>
      <c r="AF192" s="113"/>
      <c r="AG192" s="113"/>
      <c r="AH192" s="113"/>
      <c r="AI192" s="113"/>
      <c r="AM192" s="115"/>
      <c r="AO192" s="113"/>
      <c r="AP192" s="113"/>
      <c r="AQ192" s="56"/>
      <c r="AR192" s="404"/>
    </row>
    <row r="193" spans="6:44" hidden="1" x14ac:dyDescent="0.25">
      <c r="F193" s="113"/>
      <c r="G193" s="113"/>
      <c r="L193" s="117"/>
      <c r="P193" s="113"/>
      <c r="Q193" s="136"/>
      <c r="R193" s="98"/>
      <c r="S193" s="118"/>
      <c r="T193" s="118"/>
      <c r="V193" s="223"/>
      <c r="X193" s="98"/>
      <c r="Z193" s="98"/>
      <c r="AA193" s="98"/>
      <c r="AB193" s="98"/>
      <c r="AC193" s="298"/>
      <c r="AD193" s="53"/>
      <c r="AE193" s="113"/>
      <c r="AF193" s="113"/>
      <c r="AG193" s="113"/>
      <c r="AH193" s="113"/>
      <c r="AI193" s="113"/>
      <c r="AM193" s="115"/>
      <c r="AO193" s="113"/>
      <c r="AP193" s="113"/>
      <c r="AQ193" s="56"/>
      <c r="AR193" s="404"/>
    </row>
    <row r="194" spans="6:44" hidden="1" x14ac:dyDescent="0.25">
      <c r="F194" s="113"/>
      <c r="G194" s="113"/>
      <c r="L194" s="117"/>
      <c r="P194" s="113"/>
      <c r="Q194" s="136"/>
      <c r="R194" s="98"/>
      <c r="S194" s="118"/>
      <c r="T194" s="118"/>
      <c r="V194" s="223"/>
      <c r="X194" s="98"/>
      <c r="Z194" s="98"/>
      <c r="AA194" s="98"/>
      <c r="AB194" s="98"/>
      <c r="AC194" s="298"/>
      <c r="AD194" s="53"/>
      <c r="AE194" s="113"/>
      <c r="AF194" s="113"/>
      <c r="AG194" s="113"/>
      <c r="AH194" s="113"/>
      <c r="AI194" s="113"/>
      <c r="AM194" s="115"/>
      <c r="AO194" s="113"/>
      <c r="AP194" s="113"/>
      <c r="AQ194" s="56"/>
      <c r="AR194" s="404"/>
    </row>
    <row r="195" spans="6:44" hidden="1" x14ac:dyDescent="0.25">
      <c r="F195" s="113"/>
      <c r="G195" s="113"/>
      <c r="L195" s="117"/>
      <c r="P195" s="113"/>
      <c r="Q195" s="136"/>
      <c r="R195" s="98"/>
      <c r="S195" s="118"/>
      <c r="T195" s="118"/>
      <c r="V195" s="223"/>
      <c r="X195" s="98"/>
      <c r="Z195" s="98"/>
      <c r="AA195" s="98"/>
      <c r="AB195" s="98"/>
      <c r="AC195" s="298"/>
      <c r="AD195" s="53"/>
      <c r="AE195" s="113"/>
      <c r="AF195" s="113"/>
      <c r="AG195" s="113"/>
      <c r="AH195" s="113"/>
      <c r="AI195" s="113"/>
      <c r="AM195" s="115"/>
      <c r="AO195" s="113"/>
      <c r="AP195" s="113"/>
      <c r="AQ195" s="56"/>
      <c r="AR195" s="404"/>
    </row>
    <row r="196" spans="6:44" hidden="1" x14ac:dyDescent="0.25">
      <c r="F196" s="113"/>
      <c r="G196" s="113"/>
      <c r="L196" s="117"/>
      <c r="P196" s="113"/>
      <c r="Q196" s="136"/>
      <c r="R196" s="98"/>
      <c r="S196" s="118"/>
      <c r="T196" s="118"/>
      <c r="V196" s="223"/>
      <c r="X196" s="98"/>
      <c r="Z196" s="98"/>
      <c r="AA196" s="98"/>
      <c r="AB196" s="98"/>
      <c r="AC196" s="298"/>
      <c r="AD196" s="53"/>
      <c r="AE196" s="113"/>
      <c r="AF196" s="113"/>
      <c r="AG196" s="113"/>
      <c r="AH196" s="113"/>
      <c r="AI196" s="113"/>
      <c r="AM196" s="115"/>
      <c r="AO196" s="113"/>
      <c r="AP196" s="113"/>
      <c r="AQ196" s="56"/>
      <c r="AR196" s="404"/>
    </row>
    <row r="197" spans="6:44" hidden="1" x14ac:dyDescent="0.25">
      <c r="F197" s="113"/>
      <c r="G197" s="113"/>
      <c r="L197" s="117"/>
      <c r="P197" s="113"/>
      <c r="Q197" s="136"/>
      <c r="R197" s="98"/>
      <c r="S197" s="118"/>
      <c r="T197" s="118"/>
      <c r="V197" s="223"/>
      <c r="X197" s="98"/>
      <c r="Z197" s="98"/>
      <c r="AA197" s="98"/>
      <c r="AB197" s="98"/>
      <c r="AC197" s="298"/>
      <c r="AD197" s="53"/>
      <c r="AE197" s="113"/>
      <c r="AF197" s="113"/>
      <c r="AG197" s="113"/>
      <c r="AH197" s="113"/>
      <c r="AI197" s="113"/>
      <c r="AM197" s="115"/>
      <c r="AO197" s="113"/>
      <c r="AP197" s="113"/>
      <c r="AQ197" s="56"/>
      <c r="AR197" s="404"/>
    </row>
    <row r="198" spans="6:44" hidden="1" x14ac:dyDescent="0.25">
      <c r="F198" s="113"/>
      <c r="G198" s="113"/>
      <c r="L198" s="117"/>
      <c r="P198" s="113"/>
      <c r="Q198" s="136"/>
      <c r="R198" s="98"/>
      <c r="S198" s="118"/>
      <c r="T198" s="118"/>
      <c r="V198" s="223"/>
      <c r="X198" s="98"/>
      <c r="Z198" s="98"/>
      <c r="AA198" s="98"/>
      <c r="AB198" s="98"/>
      <c r="AC198" s="298"/>
      <c r="AD198" s="53"/>
      <c r="AE198" s="113"/>
      <c r="AF198" s="113"/>
      <c r="AG198" s="113"/>
      <c r="AH198" s="113"/>
      <c r="AI198" s="113"/>
      <c r="AM198" s="115"/>
      <c r="AO198" s="113"/>
      <c r="AP198" s="113"/>
      <c r="AQ198" s="56"/>
      <c r="AR198" s="404"/>
    </row>
    <row r="199" spans="6:44" hidden="1" x14ac:dyDescent="0.25">
      <c r="F199" s="113"/>
      <c r="G199" s="113"/>
      <c r="L199" s="117"/>
      <c r="P199" s="113"/>
      <c r="Q199" s="136"/>
      <c r="R199" s="98"/>
      <c r="S199" s="118"/>
      <c r="T199" s="118"/>
      <c r="V199" s="223"/>
      <c r="X199" s="98"/>
      <c r="Z199" s="98"/>
      <c r="AA199" s="98"/>
      <c r="AB199" s="98"/>
      <c r="AC199" s="298"/>
      <c r="AD199" s="53"/>
      <c r="AE199" s="113"/>
      <c r="AF199" s="113"/>
      <c r="AG199" s="113"/>
      <c r="AH199" s="113"/>
      <c r="AI199" s="113"/>
      <c r="AM199" s="115"/>
      <c r="AO199" s="113"/>
      <c r="AP199" s="113"/>
      <c r="AQ199" s="56"/>
      <c r="AR199" s="404"/>
    </row>
    <row r="200" spans="6:44" hidden="1" x14ac:dyDescent="0.25">
      <c r="F200" s="113"/>
      <c r="G200" s="113"/>
      <c r="L200" s="117"/>
      <c r="P200" s="113"/>
      <c r="Q200" s="136"/>
      <c r="R200" s="98"/>
      <c r="S200" s="118"/>
      <c r="T200" s="118"/>
      <c r="V200" s="223"/>
      <c r="X200" s="98"/>
      <c r="Z200" s="98"/>
      <c r="AA200" s="98"/>
      <c r="AB200" s="98"/>
      <c r="AC200" s="298"/>
      <c r="AD200" s="53"/>
      <c r="AE200" s="113"/>
      <c r="AF200" s="113"/>
      <c r="AG200" s="113"/>
      <c r="AH200" s="113"/>
      <c r="AI200" s="113"/>
      <c r="AM200" s="115"/>
      <c r="AO200" s="113"/>
      <c r="AP200" s="113"/>
      <c r="AQ200" s="56"/>
      <c r="AR200" s="404"/>
    </row>
    <row r="201" spans="6:44" hidden="1" x14ac:dyDescent="0.25">
      <c r="F201" s="113"/>
      <c r="G201" s="113"/>
      <c r="L201" s="117"/>
      <c r="P201" s="113"/>
      <c r="Q201" s="136"/>
      <c r="R201" s="98"/>
      <c r="S201" s="118"/>
      <c r="T201" s="118"/>
      <c r="V201" s="223"/>
      <c r="X201" s="98"/>
      <c r="Z201" s="98"/>
      <c r="AA201" s="98"/>
      <c r="AB201" s="98"/>
      <c r="AC201" s="298"/>
      <c r="AD201" s="53"/>
      <c r="AE201" s="113"/>
      <c r="AF201" s="113"/>
      <c r="AG201" s="113"/>
      <c r="AH201" s="113"/>
      <c r="AI201" s="113"/>
      <c r="AM201" s="115"/>
      <c r="AO201" s="113"/>
      <c r="AP201" s="113"/>
      <c r="AQ201" s="56"/>
      <c r="AR201" s="404"/>
    </row>
    <row r="202" spans="6:44" hidden="1" x14ac:dyDescent="0.25">
      <c r="F202" s="113"/>
      <c r="G202" s="113"/>
      <c r="L202" s="117"/>
      <c r="P202" s="113"/>
      <c r="Q202" s="136"/>
      <c r="R202" s="98"/>
      <c r="S202" s="118"/>
      <c r="T202" s="118"/>
      <c r="V202" s="223"/>
      <c r="X202" s="98"/>
      <c r="Z202" s="98"/>
      <c r="AA202" s="98"/>
      <c r="AB202" s="98"/>
      <c r="AC202" s="298"/>
      <c r="AD202" s="53"/>
      <c r="AE202" s="113"/>
      <c r="AF202" s="113"/>
      <c r="AG202" s="113"/>
      <c r="AH202" s="113"/>
      <c r="AI202" s="113"/>
      <c r="AM202" s="115"/>
      <c r="AO202" s="113"/>
      <c r="AP202" s="113"/>
      <c r="AQ202" s="56"/>
      <c r="AR202" s="404"/>
    </row>
    <row r="203" spans="6:44" hidden="1" x14ac:dyDescent="0.25">
      <c r="F203" s="113"/>
      <c r="G203" s="113"/>
      <c r="L203" s="117"/>
      <c r="P203" s="113"/>
      <c r="Q203" s="136"/>
      <c r="R203" s="98"/>
      <c r="S203" s="118"/>
      <c r="T203" s="118"/>
      <c r="V203" s="223"/>
      <c r="X203" s="98"/>
      <c r="Z203" s="98"/>
      <c r="AA203" s="98"/>
      <c r="AB203" s="98"/>
      <c r="AC203" s="298"/>
      <c r="AD203" s="53"/>
      <c r="AE203" s="113"/>
      <c r="AF203" s="113"/>
      <c r="AG203" s="113"/>
      <c r="AH203" s="113"/>
      <c r="AI203" s="113"/>
      <c r="AM203" s="115"/>
      <c r="AO203" s="113"/>
      <c r="AP203" s="113"/>
      <c r="AQ203" s="56"/>
      <c r="AR203" s="404"/>
    </row>
    <row r="204" spans="6:44" hidden="1" x14ac:dyDescent="0.25">
      <c r="F204" s="113"/>
      <c r="G204" s="113"/>
      <c r="L204" s="117"/>
      <c r="P204" s="113"/>
      <c r="Q204" s="136"/>
      <c r="R204" s="98"/>
      <c r="S204" s="118"/>
      <c r="T204" s="118"/>
      <c r="V204" s="223"/>
      <c r="X204" s="98"/>
      <c r="Z204" s="98"/>
      <c r="AA204" s="98"/>
      <c r="AB204" s="98"/>
      <c r="AC204" s="298"/>
      <c r="AD204" s="53"/>
      <c r="AE204" s="113"/>
      <c r="AF204" s="113"/>
      <c r="AG204" s="113"/>
      <c r="AH204" s="113"/>
      <c r="AI204" s="113"/>
      <c r="AM204" s="115"/>
      <c r="AO204" s="113"/>
      <c r="AP204" s="113"/>
      <c r="AQ204" s="56"/>
      <c r="AR204" s="404"/>
    </row>
    <row r="205" spans="6:44" hidden="1" x14ac:dyDescent="0.25">
      <c r="F205" s="113"/>
      <c r="G205" s="113"/>
      <c r="L205" s="117"/>
      <c r="P205" s="113"/>
      <c r="Q205" s="136"/>
      <c r="R205" s="98"/>
      <c r="S205" s="118"/>
      <c r="T205" s="118"/>
      <c r="V205" s="223"/>
      <c r="X205" s="98"/>
      <c r="Z205" s="98"/>
      <c r="AA205" s="98"/>
      <c r="AB205" s="98"/>
      <c r="AC205" s="298"/>
      <c r="AD205" s="53"/>
      <c r="AE205" s="113"/>
      <c r="AF205" s="113"/>
      <c r="AG205" s="113"/>
      <c r="AH205" s="113"/>
      <c r="AI205" s="113"/>
      <c r="AM205" s="115"/>
      <c r="AO205" s="113"/>
      <c r="AP205" s="113"/>
      <c r="AQ205" s="56"/>
      <c r="AR205" s="404"/>
    </row>
    <row r="206" spans="6:44" hidden="1" x14ac:dyDescent="0.25">
      <c r="F206" s="113"/>
      <c r="G206" s="113"/>
      <c r="L206" s="117"/>
      <c r="P206" s="113"/>
      <c r="Q206" s="136"/>
      <c r="R206" s="98"/>
      <c r="S206" s="118"/>
      <c r="T206" s="118"/>
      <c r="V206" s="223"/>
      <c r="X206" s="98"/>
      <c r="Z206" s="98"/>
      <c r="AA206" s="98"/>
      <c r="AB206" s="98"/>
      <c r="AC206" s="298"/>
      <c r="AD206" s="53"/>
      <c r="AE206" s="113"/>
      <c r="AF206" s="113"/>
      <c r="AG206" s="113"/>
      <c r="AH206" s="113"/>
      <c r="AI206" s="113"/>
      <c r="AM206" s="115"/>
      <c r="AO206" s="113"/>
      <c r="AP206" s="113"/>
      <c r="AQ206" s="56"/>
      <c r="AR206" s="404"/>
    </row>
    <row r="207" spans="6:44" hidden="1" x14ac:dyDescent="0.25">
      <c r="F207" s="113"/>
      <c r="G207" s="113"/>
      <c r="L207" s="117"/>
      <c r="P207" s="113"/>
      <c r="Q207" s="136"/>
      <c r="R207" s="98"/>
      <c r="S207" s="118"/>
      <c r="T207" s="118"/>
      <c r="V207" s="223"/>
      <c r="X207" s="98"/>
      <c r="Z207" s="98"/>
      <c r="AA207" s="98"/>
      <c r="AB207" s="98"/>
      <c r="AC207" s="298"/>
      <c r="AD207" s="53"/>
      <c r="AE207" s="113"/>
      <c r="AF207" s="113"/>
      <c r="AG207" s="113"/>
      <c r="AH207" s="113"/>
      <c r="AI207" s="113"/>
      <c r="AM207" s="115"/>
      <c r="AO207" s="113"/>
      <c r="AP207" s="113"/>
      <c r="AQ207" s="56"/>
      <c r="AR207" s="404"/>
    </row>
    <row r="208" spans="6:44" hidden="1" x14ac:dyDescent="0.25">
      <c r="F208" s="113"/>
      <c r="G208" s="113"/>
      <c r="L208" s="117"/>
      <c r="P208" s="113"/>
      <c r="Q208" s="136"/>
      <c r="R208" s="98"/>
      <c r="S208" s="118"/>
      <c r="T208" s="118"/>
      <c r="V208" s="223"/>
      <c r="X208" s="98"/>
      <c r="Z208" s="98"/>
      <c r="AA208" s="98"/>
      <c r="AB208" s="98"/>
      <c r="AC208" s="298"/>
      <c r="AD208" s="53"/>
      <c r="AE208" s="113"/>
      <c r="AF208" s="113"/>
      <c r="AG208" s="113"/>
      <c r="AH208" s="113"/>
      <c r="AI208" s="113"/>
      <c r="AM208" s="115"/>
      <c r="AO208" s="113"/>
      <c r="AP208" s="113"/>
      <c r="AQ208" s="56"/>
      <c r="AR208" s="404"/>
    </row>
    <row r="209" spans="6:44" hidden="1" x14ac:dyDescent="0.25">
      <c r="F209" s="113"/>
      <c r="G209" s="113"/>
      <c r="L209" s="117"/>
      <c r="P209" s="113"/>
      <c r="Q209" s="136"/>
      <c r="R209" s="98"/>
      <c r="S209" s="118"/>
      <c r="T209" s="118"/>
      <c r="V209" s="223"/>
      <c r="X209" s="98"/>
      <c r="Z209" s="98"/>
      <c r="AA209" s="98"/>
      <c r="AB209" s="98"/>
      <c r="AC209" s="298"/>
      <c r="AD209" s="53"/>
      <c r="AE209" s="113"/>
      <c r="AF209" s="113"/>
      <c r="AG209" s="113"/>
      <c r="AH209" s="113"/>
      <c r="AI209" s="113"/>
      <c r="AM209" s="115"/>
      <c r="AO209" s="113"/>
      <c r="AP209" s="113"/>
      <c r="AQ209" s="56"/>
      <c r="AR209" s="404"/>
    </row>
    <row r="210" spans="6:44" hidden="1" x14ac:dyDescent="0.25">
      <c r="F210" s="113"/>
      <c r="G210" s="113"/>
      <c r="L210" s="117"/>
      <c r="P210" s="113"/>
      <c r="Q210" s="136"/>
      <c r="R210" s="98"/>
      <c r="S210" s="118"/>
      <c r="T210" s="118"/>
      <c r="V210" s="223"/>
      <c r="X210" s="98"/>
      <c r="Z210" s="98"/>
      <c r="AA210" s="98"/>
      <c r="AB210" s="98"/>
      <c r="AC210" s="298"/>
      <c r="AD210" s="53"/>
      <c r="AE210" s="113"/>
      <c r="AF210" s="113"/>
      <c r="AG210" s="113"/>
      <c r="AH210" s="113"/>
      <c r="AI210" s="113"/>
      <c r="AM210" s="115"/>
      <c r="AO210" s="113"/>
      <c r="AP210" s="113"/>
      <c r="AQ210" s="56"/>
      <c r="AR210" s="404"/>
    </row>
    <row r="211" spans="6:44" hidden="1" x14ac:dyDescent="0.25">
      <c r="F211" s="113"/>
      <c r="G211" s="113"/>
      <c r="L211" s="117"/>
      <c r="P211" s="113"/>
      <c r="Q211" s="136"/>
      <c r="R211" s="98"/>
      <c r="S211" s="118"/>
      <c r="T211" s="118"/>
      <c r="V211" s="223"/>
      <c r="X211" s="98"/>
      <c r="Z211" s="98"/>
      <c r="AA211" s="98"/>
      <c r="AB211" s="98"/>
      <c r="AC211" s="298"/>
      <c r="AD211" s="53"/>
      <c r="AE211" s="113"/>
      <c r="AF211" s="113"/>
      <c r="AG211" s="113"/>
      <c r="AH211" s="113"/>
      <c r="AI211" s="113"/>
      <c r="AM211" s="115"/>
      <c r="AO211" s="113"/>
      <c r="AP211" s="113"/>
      <c r="AQ211" s="56"/>
      <c r="AR211" s="404"/>
    </row>
    <row r="212" spans="6:44" hidden="1" x14ac:dyDescent="0.25">
      <c r="F212" s="113"/>
      <c r="G212" s="113"/>
      <c r="L212" s="117"/>
      <c r="P212" s="113"/>
      <c r="Q212" s="136"/>
      <c r="R212" s="98"/>
      <c r="S212" s="118"/>
      <c r="T212" s="118"/>
      <c r="V212" s="223"/>
      <c r="X212" s="98"/>
      <c r="Z212" s="98"/>
      <c r="AA212" s="98"/>
      <c r="AB212" s="98"/>
      <c r="AC212" s="298"/>
      <c r="AD212" s="53"/>
      <c r="AE212" s="113"/>
      <c r="AF212" s="113"/>
      <c r="AG212" s="113"/>
      <c r="AH212" s="113"/>
      <c r="AI212" s="113"/>
      <c r="AM212" s="115"/>
      <c r="AO212" s="113"/>
      <c r="AP212" s="113"/>
      <c r="AQ212" s="56"/>
      <c r="AR212" s="404"/>
    </row>
    <row r="213" spans="6:44" hidden="1" x14ac:dyDescent="0.25">
      <c r="F213" s="113"/>
      <c r="G213" s="113"/>
      <c r="L213" s="117"/>
      <c r="P213" s="113"/>
      <c r="Q213" s="136"/>
      <c r="R213" s="98"/>
      <c r="S213" s="118"/>
      <c r="T213" s="118"/>
      <c r="V213" s="223"/>
      <c r="X213" s="98"/>
      <c r="Z213" s="98"/>
      <c r="AA213" s="98"/>
      <c r="AB213" s="98"/>
      <c r="AC213" s="298"/>
      <c r="AD213" s="53"/>
      <c r="AE213" s="113"/>
      <c r="AF213" s="113"/>
      <c r="AG213" s="113"/>
      <c r="AH213" s="113"/>
      <c r="AI213" s="113"/>
      <c r="AM213" s="115"/>
      <c r="AO213" s="113"/>
      <c r="AP213" s="113"/>
      <c r="AQ213" s="56"/>
      <c r="AR213" s="404"/>
    </row>
    <row r="214" spans="6:44" hidden="1" x14ac:dyDescent="0.25">
      <c r="F214" s="113"/>
      <c r="G214" s="113"/>
      <c r="L214" s="117"/>
      <c r="P214" s="113"/>
      <c r="Q214" s="136"/>
      <c r="R214" s="98"/>
      <c r="S214" s="118"/>
      <c r="T214" s="118"/>
      <c r="V214" s="223"/>
      <c r="X214" s="98"/>
      <c r="Z214" s="98"/>
      <c r="AA214" s="98"/>
      <c r="AB214" s="98"/>
      <c r="AC214" s="298"/>
      <c r="AD214" s="53"/>
      <c r="AE214" s="113"/>
      <c r="AF214" s="113"/>
      <c r="AG214" s="113"/>
      <c r="AH214" s="113"/>
      <c r="AI214" s="113"/>
      <c r="AM214" s="115"/>
      <c r="AO214" s="113"/>
      <c r="AP214" s="113"/>
      <c r="AQ214" s="56"/>
      <c r="AR214" s="404"/>
    </row>
    <row r="215" spans="6:44" hidden="1" x14ac:dyDescent="0.25">
      <c r="F215" s="113"/>
      <c r="G215" s="113"/>
      <c r="L215" s="117"/>
      <c r="P215" s="113"/>
      <c r="Q215" s="136"/>
      <c r="R215" s="98"/>
      <c r="S215" s="118"/>
      <c r="T215" s="118"/>
      <c r="V215" s="223"/>
      <c r="X215" s="98"/>
      <c r="Z215" s="98"/>
      <c r="AA215" s="98"/>
      <c r="AB215" s="98"/>
      <c r="AC215" s="298"/>
      <c r="AD215" s="53"/>
      <c r="AE215" s="113"/>
      <c r="AF215" s="113"/>
      <c r="AG215" s="113"/>
      <c r="AH215" s="113"/>
      <c r="AI215" s="113"/>
      <c r="AM215" s="115"/>
      <c r="AO215" s="113"/>
      <c r="AP215" s="113"/>
      <c r="AQ215" s="56"/>
      <c r="AR215" s="404"/>
    </row>
    <row r="216" spans="6:44" hidden="1" x14ac:dyDescent="0.25">
      <c r="F216" s="113"/>
      <c r="G216" s="113"/>
      <c r="L216" s="117"/>
      <c r="P216" s="113"/>
      <c r="Q216" s="136"/>
      <c r="R216" s="98"/>
      <c r="S216" s="118"/>
      <c r="T216" s="118"/>
      <c r="V216" s="223"/>
      <c r="X216" s="98"/>
      <c r="Z216" s="98"/>
      <c r="AA216" s="98"/>
      <c r="AB216" s="98"/>
      <c r="AC216" s="298"/>
      <c r="AD216" s="53"/>
      <c r="AE216" s="113"/>
      <c r="AF216" s="113"/>
      <c r="AG216" s="113"/>
      <c r="AH216" s="113"/>
      <c r="AI216" s="113"/>
      <c r="AM216" s="115"/>
      <c r="AO216" s="113"/>
      <c r="AP216" s="113"/>
      <c r="AQ216" s="56"/>
      <c r="AR216" s="404"/>
    </row>
    <row r="217" spans="6:44" hidden="1" x14ac:dyDescent="0.25">
      <c r="F217" s="113"/>
      <c r="G217" s="113"/>
      <c r="L217" s="117"/>
      <c r="P217" s="113"/>
      <c r="Q217" s="136"/>
      <c r="R217" s="98"/>
      <c r="S217" s="118"/>
      <c r="T217" s="118"/>
      <c r="V217" s="223"/>
      <c r="X217" s="98"/>
      <c r="Z217" s="98"/>
      <c r="AA217" s="98"/>
      <c r="AB217" s="98"/>
      <c r="AC217" s="298"/>
      <c r="AD217" s="53"/>
      <c r="AE217" s="113"/>
      <c r="AF217" s="113"/>
      <c r="AG217" s="113"/>
      <c r="AH217" s="113"/>
      <c r="AI217" s="113"/>
      <c r="AM217" s="115"/>
      <c r="AO217" s="113"/>
      <c r="AP217" s="113"/>
      <c r="AQ217" s="56"/>
      <c r="AR217" s="404"/>
    </row>
    <row r="218" spans="6:44" hidden="1" x14ac:dyDescent="0.25">
      <c r="F218" s="113"/>
      <c r="G218" s="113"/>
      <c r="L218" s="117"/>
      <c r="P218" s="113"/>
      <c r="Q218" s="136"/>
      <c r="R218" s="98"/>
      <c r="S218" s="118"/>
      <c r="T218" s="118"/>
      <c r="V218" s="223"/>
      <c r="X218" s="98"/>
      <c r="Z218" s="98"/>
      <c r="AA218" s="98"/>
      <c r="AB218" s="98"/>
      <c r="AC218" s="298"/>
      <c r="AD218" s="53"/>
      <c r="AE218" s="113"/>
      <c r="AF218" s="113"/>
      <c r="AG218" s="113"/>
      <c r="AH218" s="113"/>
      <c r="AI218" s="113"/>
      <c r="AM218" s="115"/>
      <c r="AO218" s="113"/>
      <c r="AP218" s="113"/>
      <c r="AQ218" s="56"/>
      <c r="AR218" s="404"/>
    </row>
    <row r="219" spans="6:44" hidden="1" x14ac:dyDescent="0.25">
      <c r="F219" s="113"/>
      <c r="G219" s="113"/>
      <c r="L219" s="117"/>
      <c r="P219" s="113"/>
      <c r="Q219" s="136"/>
      <c r="R219" s="98"/>
      <c r="S219" s="118"/>
      <c r="T219" s="118"/>
      <c r="V219" s="223"/>
      <c r="X219" s="98"/>
      <c r="Z219" s="98"/>
      <c r="AA219" s="98"/>
      <c r="AB219" s="98"/>
      <c r="AC219" s="298"/>
      <c r="AD219" s="53"/>
      <c r="AE219" s="113"/>
      <c r="AF219" s="113"/>
      <c r="AG219" s="113"/>
      <c r="AH219" s="113"/>
      <c r="AI219" s="113"/>
      <c r="AM219" s="115"/>
      <c r="AO219" s="113"/>
      <c r="AP219" s="113"/>
      <c r="AQ219" s="56"/>
      <c r="AR219" s="404"/>
    </row>
    <row r="220" spans="6:44" hidden="1" x14ac:dyDescent="0.25">
      <c r="F220" s="113"/>
      <c r="G220" s="113"/>
      <c r="L220" s="117"/>
      <c r="P220" s="113"/>
      <c r="Q220" s="136"/>
      <c r="R220" s="98"/>
      <c r="S220" s="118"/>
      <c r="T220" s="118"/>
      <c r="V220" s="223"/>
      <c r="X220" s="98"/>
      <c r="Z220" s="98"/>
      <c r="AA220" s="98"/>
      <c r="AB220" s="98"/>
      <c r="AC220" s="298"/>
      <c r="AD220" s="53"/>
      <c r="AE220" s="113"/>
      <c r="AF220" s="113"/>
      <c r="AG220" s="113"/>
      <c r="AH220" s="113"/>
      <c r="AI220" s="113"/>
      <c r="AM220" s="115"/>
      <c r="AO220" s="113"/>
      <c r="AP220" s="113"/>
      <c r="AQ220" s="56"/>
      <c r="AR220" s="404"/>
    </row>
    <row r="221" spans="6:44" hidden="1" x14ac:dyDescent="0.25">
      <c r="F221" s="113"/>
      <c r="G221" s="113"/>
      <c r="L221" s="117"/>
      <c r="P221" s="113"/>
      <c r="Q221" s="136"/>
      <c r="R221" s="98"/>
      <c r="S221" s="118"/>
      <c r="T221" s="118"/>
      <c r="V221" s="223"/>
      <c r="X221" s="98"/>
      <c r="Z221" s="98"/>
      <c r="AA221" s="98"/>
      <c r="AB221" s="98"/>
      <c r="AC221" s="298"/>
      <c r="AD221" s="53"/>
      <c r="AE221" s="113"/>
      <c r="AF221" s="113"/>
      <c r="AG221" s="113"/>
      <c r="AH221" s="113"/>
      <c r="AI221" s="113"/>
      <c r="AM221" s="115"/>
      <c r="AO221" s="113"/>
      <c r="AP221" s="113"/>
      <c r="AQ221" s="56"/>
      <c r="AR221" s="404"/>
    </row>
    <row r="222" spans="6:44" hidden="1" x14ac:dyDescent="0.25">
      <c r="F222" s="113"/>
      <c r="G222" s="113"/>
      <c r="L222" s="117"/>
      <c r="P222" s="113"/>
      <c r="Q222" s="136"/>
      <c r="R222" s="98"/>
      <c r="S222" s="118"/>
      <c r="T222" s="118"/>
      <c r="V222" s="223"/>
      <c r="X222" s="98"/>
      <c r="Z222" s="98"/>
      <c r="AA222" s="98"/>
      <c r="AB222" s="98"/>
      <c r="AC222" s="298"/>
      <c r="AD222" s="53"/>
      <c r="AE222" s="113"/>
      <c r="AF222" s="113"/>
      <c r="AG222" s="113"/>
      <c r="AH222" s="113"/>
      <c r="AI222" s="113"/>
      <c r="AM222" s="115"/>
      <c r="AO222" s="113"/>
      <c r="AP222" s="113"/>
      <c r="AQ222" s="56"/>
      <c r="AR222" s="404"/>
    </row>
    <row r="223" spans="6:44" hidden="1" x14ac:dyDescent="0.25">
      <c r="F223" s="113"/>
      <c r="G223" s="113"/>
      <c r="L223" s="117"/>
      <c r="P223" s="113"/>
      <c r="Q223" s="136"/>
      <c r="R223" s="98"/>
      <c r="S223" s="118"/>
      <c r="T223" s="118"/>
      <c r="V223" s="223"/>
      <c r="X223" s="98"/>
      <c r="Z223" s="98"/>
      <c r="AA223" s="98"/>
      <c r="AB223" s="98"/>
      <c r="AC223" s="298"/>
      <c r="AD223" s="53"/>
      <c r="AE223" s="113"/>
      <c r="AF223" s="113"/>
      <c r="AG223" s="113"/>
      <c r="AH223" s="113"/>
      <c r="AI223" s="113"/>
      <c r="AM223" s="115"/>
      <c r="AO223" s="113"/>
      <c r="AP223" s="113"/>
      <c r="AQ223" s="56"/>
      <c r="AR223" s="404"/>
    </row>
    <row r="224" spans="6:44" hidden="1" x14ac:dyDescent="0.25">
      <c r="F224" s="113"/>
      <c r="G224" s="113"/>
      <c r="L224" s="117"/>
      <c r="P224" s="113"/>
      <c r="Q224" s="136"/>
      <c r="R224" s="98"/>
      <c r="S224" s="118"/>
      <c r="T224" s="118"/>
      <c r="V224" s="223"/>
      <c r="X224" s="98"/>
      <c r="Z224" s="98"/>
      <c r="AA224" s="98"/>
      <c r="AB224" s="98"/>
      <c r="AC224" s="298"/>
      <c r="AD224" s="53"/>
      <c r="AE224" s="113"/>
      <c r="AF224" s="113"/>
      <c r="AG224" s="113"/>
      <c r="AH224" s="113"/>
      <c r="AI224" s="113"/>
      <c r="AM224" s="115"/>
      <c r="AO224" s="113"/>
      <c r="AP224" s="113"/>
      <c r="AQ224" s="56"/>
      <c r="AR224" s="404"/>
    </row>
    <row r="225" spans="6:44" hidden="1" x14ac:dyDescent="0.25">
      <c r="F225" s="113"/>
      <c r="G225" s="113"/>
      <c r="L225" s="117"/>
      <c r="P225" s="113"/>
      <c r="Q225" s="136"/>
      <c r="R225" s="98"/>
      <c r="S225" s="118"/>
      <c r="T225" s="118"/>
      <c r="V225" s="223"/>
      <c r="X225" s="98"/>
      <c r="Z225" s="98"/>
      <c r="AA225" s="98"/>
      <c r="AB225" s="98"/>
      <c r="AC225" s="298"/>
      <c r="AD225" s="53"/>
      <c r="AE225" s="113"/>
      <c r="AF225" s="113"/>
      <c r="AG225" s="113"/>
      <c r="AH225" s="113"/>
      <c r="AI225" s="113"/>
      <c r="AM225" s="115"/>
      <c r="AO225" s="113"/>
      <c r="AP225" s="113"/>
      <c r="AQ225" s="56"/>
      <c r="AR225" s="404"/>
    </row>
    <row r="226" spans="6:44" hidden="1" x14ac:dyDescent="0.25">
      <c r="F226" s="113"/>
      <c r="G226" s="113"/>
      <c r="L226" s="117"/>
      <c r="P226" s="113"/>
      <c r="Q226" s="136"/>
      <c r="R226" s="98"/>
      <c r="S226" s="118"/>
      <c r="T226" s="118"/>
      <c r="V226" s="223"/>
      <c r="X226" s="98"/>
      <c r="Z226" s="98"/>
      <c r="AA226" s="98"/>
      <c r="AB226" s="98"/>
      <c r="AC226" s="298"/>
      <c r="AD226" s="53"/>
      <c r="AE226" s="113"/>
      <c r="AF226" s="113"/>
      <c r="AG226" s="113"/>
      <c r="AH226" s="113"/>
      <c r="AI226" s="113"/>
      <c r="AM226" s="115"/>
      <c r="AO226" s="113"/>
      <c r="AP226" s="113"/>
      <c r="AQ226" s="56"/>
      <c r="AR226" s="404"/>
    </row>
    <row r="227" spans="6:44" hidden="1" x14ac:dyDescent="0.25">
      <c r="F227" s="113"/>
      <c r="G227" s="113"/>
      <c r="L227" s="117"/>
      <c r="P227" s="113"/>
      <c r="Q227" s="136"/>
      <c r="R227" s="98"/>
      <c r="S227" s="118"/>
      <c r="T227" s="118"/>
      <c r="V227" s="223"/>
      <c r="X227" s="98"/>
      <c r="Z227" s="98"/>
      <c r="AA227" s="98"/>
      <c r="AB227" s="98"/>
      <c r="AC227" s="298"/>
      <c r="AD227" s="53"/>
      <c r="AE227" s="113"/>
      <c r="AF227" s="113"/>
      <c r="AG227" s="113"/>
      <c r="AH227" s="113"/>
      <c r="AI227" s="113"/>
      <c r="AM227" s="115"/>
      <c r="AO227" s="113"/>
      <c r="AP227" s="113"/>
      <c r="AQ227" s="56"/>
      <c r="AR227" s="404"/>
    </row>
    <row r="228" spans="6:44" hidden="1" x14ac:dyDescent="0.25">
      <c r="F228" s="113"/>
      <c r="G228" s="113"/>
      <c r="L228" s="117"/>
      <c r="P228" s="113"/>
      <c r="Q228" s="136"/>
      <c r="R228" s="98"/>
      <c r="S228" s="118"/>
      <c r="T228" s="118"/>
      <c r="V228" s="223"/>
      <c r="X228" s="98"/>
      <c r="Z228" s="98"/>
      <c r="AA228" s="98"/>
      <c r="AB228" s="98"/>
      <c r="AC228" s="298"/>
      <c r="AD228" s="53"/>
      <c r="AE228" s="113"/>
      <c r="AF228" s="113"/>
      <c r="AG228" s="113"/>
      <c r="AH228" s="113"/>
      <c r="AI228" s="113"/>
      <c r="AM228" s="115"/>
      <c r="AO228" s="113"/>
      <c r="AP228" s="113"/>
      <c r="AQ228" s="56"/>
      <c r="AR228" s="404"/>
    </row>
    <row r="229" spans="6:44" hidden="1" x14ac:dyDescent="0.25">
      <c r="F229" s="113"/>
      <c r="G229" s="113"/>
      <c r="L229" s="117"/>
      <c r="P229" s="113"/>
      <c r="Q229" s="136"/>
      <c r="R229" s="98"/>
      <c r="S229" s="118"/>
      <c r="T229" s="118"/>
      <c r="V229" s="223"/>
      <c r="X229" s="98"/>
      <c r="Z229" s="98"/>
      <c r="AA229" s="98"/>
      <c r="AB229" s="98"/>
      <c r="AC229" s="298"/>
      <c r="AD229" s="53"/>
      <c r="AE229" s="113"/>
      <c r="AF229" s="113"/>
      <c r="AG229" s="113"/>
      <c r="AH229" s="113"/>
      <c r="AI229" s="113"/>
      <c r="AM229" s="115"/>
      <c r="AO229" s="113"/>
      <c r="AP229" s="113"/>
      <c r="AQ229" s="56"/>
      <c r="AR229" s="404"/>
    </row>
    <row r="230" spans="6:44" hidden="1" x14ac:dyDescent="0.25">
      <c r="F230" s="113"/>
      <c r="G230" s="113"/>
      <c r="L230" s="117"/>
      <c r="P230" s="113"/>
      <c r="Q230" s="136"/>
      <c r="R230" s="98"/>
      <c r="S230" s="118"/>
      <c r="T230" s="118"/>
      <c r="V230" s="223"/>
      <c r="X230" s="98"/>
      <c r="Z230" s="98"/>
      <c r="AA230" s="98"/>
      <c r="AB230" s="98"/>
      <c r="AC230" s="298"/>
      <c r="AD230" s="53"/>
      <c r="AE230" s="113"/>
      <c r="AF230" s="113"/>
      <c r="AG230" s="113"/>
      <c r="AH230" s="113"/>
      <c r="AI230" s="113"/>
      <c r="AM230" s="115"/>
      <c r="AO230" s="113"/>
      <c r="AP230" s="113"/>
      <c r="AQ230" s="56"/>
      <c r="AR230" s="404"/>
    </row>
    <row r="231" spans="6:44" hidden="1" x14ac:dyDescent="0.25">
      <c r="F231" s="113"/>
      <c r="G231" s="113"/>
      <c r="L231" s="117"/>
      <c r="P231" s="113"/>
      <c r="Q231" s="136"/>
      <c r="R231" s="98"/>
      <c r="S231" s="118"/>
      <c r="T231" s="118"/>
      <c r="V231" s="223"/>
      <c r="X231" s="98"/>
      <c r="Z231" s="98"/>
      <c r="AA231" s="98"/>
      <c r="AB231" s="98"/>
      <c r="AC231" s="298"/>
      <c r="AD231" s="53"/>
      <c r="AE231" s="113"/>
      <c r="AF231" s="113"/>
      <c r="AG231" s="113"/>
      <c r="AH231" s="113"/>
      <c r="AI231" s="113"/>
      <c r="AM231" s="115"/>
      <c r="AO231" s="113"/>
      <c r="AP231" s="113"/>
      <c r="AQ231" s="56"/>
      <c r="AR231" s="404"/>
    </row>
    <row r="232" spans="6:44" hidden="1" x14ac:dyDescent="0.25">
      <c r="F232" s="113"/>
      <c r="G232" s="113"/>
      <c r="L232" s="117"/>
      <c r="P232" s="113"/>
      <c r="Q232" s="136"/>
      <c r="R232" s="98"/>
      <c r="S232" s="118"/>
      <c r="T232" s="118"/>
      <c r="V232" s="223"/>
      <c r="X232" s="98"/>
      <c r="Z232" s="98"/>
      <c r="AA232" s="98"/>
      <c r="AB232" s="98"/>
      <c r="AC232" s="298"/>
      <c r="AD232" s="53"/>
      <c r="AE232" s="113"/>
      <c r="AF232" s="113"/>
      <c r="AG232" s="113"/>
      <c r="AH232" s="113"/>
      <c r="AI232" s="113"/>
      <c r="AM232" s="115"/>
      <c r="AO232" s="113"/>
      <c r="AP232" s="113"/>
      <c r="AQ232" s="56"/>
      <c r="AR232" s="404"/>
    </row>
    <row r="233" spans="6:44" hidden="1" x14ac:dyDescent="0.25">
      <c r="F233" s="113"/>
      <c r="G233" s="113"/>
      <c r="L233" s="117"/>
      <c r="P233" s="113"/>
      <c r="Q233" s="136"/>
      <c r="R233" s="98"/>
      <c r="S233" s="118"/>
      <c r="T233" s="118"/>
      <c r="V233" s="223"/>
      <c r="X233" s="98"/>
      <c r="Z233" s="98"/>
      <c r="AA233" s="98"/>
      <c r="AB233" s="98"/>
      <c r="AC233" s="298"/>
      <c r="AD233" s="53"/>
      <c r="AE233" s="113"/>
      <c r="AF233" s="113"/>
      <c r="AG233" s="113"/>
      <c r="AH233" s="113"/>
      <c r="AI233" s="113"/>
      <c r="AM233" s="115"/>
      <c r="AO233" s="113"/>
      <c r="AP233" s="113"/>
      <c r="AQ233" s="56"/>
      <c r="AR233" s="404"/>
    </row>
    <row r="234" spans="6:44" hidden="1" x14ac:dyDescent="0.25">
      <c r="F234" s="113"/>
      <c r="G234" s="113"/>
      <c r="L234" s="117"/>
      <c r="P234" s="113"/>
      <c r="Q234" s="136"/>
      <c r="R234" s="98"/>
      <c r="S234" s="118"/>
      <c r="T234" s="118"/>
      <c r="V234" s="223"/>
      <c r="X234" s="98"/>
      <c r="Z234" s="98"/>
      <c r="AA234" s="98"/>
      <c r="AB234" s="98"/>
      <c r="AC234" s="298"/>
      <c r="AD234" s="53"/>
      <c r="AE234" s="113"/>
      <c r="AF234" s="113"/>
      <c r="AG234" s="113"/>
      <c r="AH234" s="113"/>
      <c r="AI234" s="113"/>
      <c r="AM234" s="115"/>
      <c r="AO234" s="113"/>
      <c r="AP234" s="113"/>
      <c r="AQ234" s="56"/>
      <c r="AR234" s="404"/>
    </row>
    <row r="235" spans="6:44" hidden="1" x14ac:dyDescent="0.25">
      <c r="F235" s="113"/>
      <c r="G235" s="113"/>
      <c r="L235" s="117"/>
      <c r="P235" s="113"/>
      <c r="Q235" s="136"/>
      <c r="R235" s="98"/>
      <c r="S235" s="118"/>
      <c r="T235" s="118"/>
      <c r="V235" s="223"/>
      <c r="X235" s="98"/>
      <c r="Z235" s="98"/>
      <c r="AA235" s="98"/>
      <c r="AB235" s="98"/>
      <c r="AC235" s="298"/>
      <c r="AD235" s="53"/>
      <c r="AE235" s="113"/>
      <c r="AF235" s="113"/>
      <c r="AG235" s="113"/>
      <c r="AH235" s="113"/>
      <c r="AI235" s="113"/>
      <c r="AM235" s="115"/>
      <c r="AO235" s="113"/>
      <c r="AP235" s="113"/>
      <c r="AQ235" s="56"/>
      <c r="AR235" s="404"/>
    </row>
    <row r="236" spans="6:44" hidden="1" x14ac:dyDescent="0.25">
      <c r="F236" s="113"/>
      <c r="G236" s="113"/>
      <c r="L236" s="117"/>
      <c r="P236" s="113"/>
      <c r="Q236" s="136"/>
      <c r="R236" s="98"/>
      <c r="S236" s="118"/>
      <c r="T236" s="118"/>
      <c r="V236" s="223"/>
      <c r="X236" s="98"/>
      <c r="Z236" s="98"/>
      <c r="AA236" s="98"/>
      <c r="AB236" s="98"/>
      <c r="AC236" s="298"/>
      <c r="AD236" s="53"/>
      <c r="AE236" s="113"/>
      <c r="AF236" s="113"/>
      <c r="AG236" s="113"/>
      <c r="AH236" s="113"/>
      <c r="AI236" s="113"/>
      <c r="AM236" s="115"/>
      <c r="AO236" s="113"/>
      <c r="AP236" s="113"/>
      <c r="AQ236" s="56"/>
      <c r="AR236" s="404"/>
    </row>
    <row r="237" spans="6:44" hidden="1" x14ac:dyDescent="0.25">
      <c r="F237" s="113"/>
      <c r="G237" s="113"/>
      <c r="L237" s="117"/>
      <c r="P237" s="113"/>
      <c r="Q237" s="136"/>
      <c r="R237" s="98"/>
      <c r="S237" s="118"/>
      <c r="T237" s="118"/>
      <c r="V237" s="223"/>
      <c r="X237" s="98"/>
      <c r="Z237" s="98"/>
      <c r="AA237" s="98"/>
      <c r="AB237" s="98"/>
      <c r="AC237" s="298"/>
      <c r="AD237" s="53"/>
      <c r="AE237" s="113"/>
      <c r="AF237" s="113"/>
      <c r="AG237" s="113"/>
      <c r="AH237" s="113"/>
      <c r="AI237" s="113"/>
      <c r="AM237" s="115"/>
      <c r="AO237" s="113"/>
      <c r="AP237" s="113"/>
      <c r="AQ237" s="56"/>
      <c r="AR237" s="404"/>
    </row>
    <row r="238" spans="6:44" hidden="1" x14ac:dyDescent="0.25">
      <c r="F238" s="113"/>
      <c r="G238" s="113"/>
      <c r="L238" s="117"/>
      <c r="P238" s="113"/>
      <c r="Q238" s="136"/>
      <c r="R238" s="98"/>
      <c r="S238" s="118"/>
      <c r="T238" s="118"/>
      <c r="V238" s="223"/>
      <c r="X238" s="98"/>
      <c r="Z238" s="98"/>
      <c r="AA238" s="98"/>
      <c r="AB238" s="98"/>
      <c r="AC238" s="298"/>
      <c r="AD238" s="53"/>
      <c r="AE238" s="113"/>
      <c r="AF238" s="113"/>
      <c r="AG238" s="113"/>
      <c r="AH238" s="113"/>
      <c r="AI238" s="113"/>
      <c r="AM238" s="115"/>
      <c r="AO238" s="113"/>
      <c r="AP238" s="113"/>
      <c r="AQ238" s="56"/>
      <c r="AR238" s="404"/>
    </row>
    <row r="239" spans="6:44" hidden="1" x14ac:dyDescent="0.25">
      <c r="F239" s="113"/>
      <c r="G239" s="113"/>
      <c r="L239" s="117"/>
      <c r="P239" s="113"/>
      <c r="Q239" s="136"/>
      <c r="R239" s="98"/>
      <c r="S239" s="118"/>
      <c r="T239" s="118"/>
      <c r="V239" s="223"/>
      <c r="X239" s="98"/>
      <c r="Z239" s="98"/>
      <c r="AA239" s="98"/>
      <c r="AB239" s="98"/>
      <c r="AC239" s="298"/>
      <c r="AD239" s="53"/>
      <c r="AE239" s="113"/>
      <c r="AF239" s="113"/>
      <c r="AG239" s="113"/>
      <c r="AH239" s="113"/>
      <c r="AI239" s="113"/>
      <c r="AM239" s="115"/>
      <c r="AO239" s="113"/>
      <c r="AP239" s="113"/>
      <c r="AQ239" s="56"/>
      <c r="AR239" s="404"/>
    </row>
    <row r="240" spans="6:44" hidden="1" x14ac:dyDescent="0.25">
      <c r="F240" s="113"/>
      <c r="G240" s="113"/>
      <c r="L240" s="117"/>
      <c r="P240" s="113"/>
      <c r="Q240" s="136"/>
      <c r="R240" s="98"/>
      <c r="S240" s="118"/>
      <c r="T240" s="118"/>
      <c r="V240" s="223"/>
      <c r="X240" s="98"/>
      <c r="Z240" s="98"/>
      <c r="AA240" s="98"/>
      <c r="AB240" s="98"/>
      <c r="AC240" s="298"/>
      <c r="AD240" s="53"/>
      <c r="AE240" s="113"/>
      <c r="AF240" s="113"/>
      <c r="AG240" s="113"/>
      <c r="AH240" s="113"/>
      <c r="AI240" s="113"/>
      <c r="AM240" s="115"/>
      <c r="AO240" s="113"/>
      <c r="AP240" s="113"/>
      <c r="AQ240" s="56"/>
      <c r="AR240" s="404"/>
    </row>
    <row r="241" spans="6:44" hidden="1" x14ac:dyDescent="0.25">
      <c r="F241" s="113"/>
      <c r="G241" s="113"/>
      <c r="L241" s="117"/>
      <c r="P241" s="113"/>
      <c r="Q241" s="136"/>
      <c r="R241" s="98"/>
      <c r="S241" s="118"/>
      <c r="T241" s="118"/>
      <c r="V241" s="223"/>
      <c r="X241" s="98"/>
      <c r="Z241" s="98"/>
      <c r="AA241" s="98"/>
      <c r="AB241" s="98"/>
      <c r="AC241" s="298"/>
      <c r="AD241" s="53"/>
      <c r="AE241" s="113"/>
      <c r="AF241" s="113"/>
      <c r="AG241" s="113"/>
      <c r="AH241" s="113"/>
      <c r="AI241" s="113"/>
      <c r="AM241" s="115"/>
      <c r="AO241" s="113"/>
      <c r="AP241" s="113"/>
      <c r="AQ241" s="56"/>
      <c r="AR241" s="404"/>
    </row>
    <row r="242" spans="6:44" hidden="1" x14ac:dyDescent="0.25">
      <c r="F242" s="113"/>
      <c r="G242" s="113"/>
      <c r="L242" s="117"/>
      <c r="P242" s="113"/>
      <c r="Q242" s="136"/>
      <c r="R242" s="98"/>
      <c r="S242" s="118"/>
      <c r="T242" s="118"/>
      <c r="V242" s="223"/>
      <c r="X242" s="98"/>
      <c r="Z242" s="98"/>
      <c r="AA242" s="98"/>
      <c r="AB242" s="98"/>
      <c r="AC242" s="298"/>
      <c r="AD242" s="53"/>
      <c r="AE242" s="113"/>
      <c r="AF242" s="113"/>
      <c r="AG242" s="113"/>
      <c r="AH242" s="113"/>
      <c r="AI242" s="113"/>
      <c r="AM242" s="115"/>
      <c r="AO242" s="113"/>
      <c r="AP242" s="113"/>
      <c r="AQ242" s="56"/>
      <c r="AR242" s="404"/>
    </row>
    <row r="243" spans="6:44" hidden="1" x14ac:dyDescent="0.25">
      <c r="F243" s="113"/>
      <c r="G243" s="113"/>
      <c r="L243" s="117"/>
      <c r="P243" s="113"/>
      <c r="Q243" s="136"/>
      <c r="R243" s="98"/>
      <c r="S243" s="118"/>
      <c r="T243" s="118"/>
      <c r="V243" s="223"/>
      <c r="X243" s="98"/>
      <c r="Z243" s="98"/>
      <c r="AA243" s="98"/>
      <c r="AB243" s="98"/>
      <c r="AC243" s="298"/>
      <c r="AD243" s="53"/>
      <c r="AE243" s="113"/>
      <c r="AF243" s="113"/>
      <c r="AG243" s="113"/>
      <c r="AH243" s="113"/>
      <c r="AI243" s="113"/>
      <c r="AM243" s="115"/>
      <c r="AO243" s="113"/>
      <c r="AP243" s="113"/>
      <c r="AQ243" s="56"/>
      <c r="AR243" s="404"/>
    </row>
    <row r="244" spans="6:44" hidden="1" x14ac:dyDescent="0.25">
      <c r="F244" s="113"/>
      <c r="G244" s="113"/>
      <c r="L244" s="117"/>
      <c r="P244" s="113"/>
      <c r="Q244" s="136"/>
      <c r="R244" s="98"/>
      <c r="S244" s="118"/>
      <c r="T244" s="118"/>
      <c r="V244" s="223"/>
      <c r="X244" s="98"/>
      <c r="Z244" s="98"/>
      <c r="AA244" s="98"/>
      <c r="AB244" s="98"/>
      <c r="AC244" s="298"/>
      <c r="AD244" s="53"/>
      <c r="AE244" s="113"/>
      <c r="AF244" s="113"/>
      <c r="AG244" s="113"/>
      <c r="AH244" s="113"/>
      <c r="AI244" s="113"/>
      <c r="AM244" s="115"/>
      <c r="AO244" s="113"/>
      <c r="AP244" s="113"/>
      <c r="AQ244" s="56"/>
      <c r="AR244" s="404"/>
    </row>
    <row r="245" spans="6:44" hidden="1" x14ac:dyDescent="0.25">
      <c r="F245" s="113"/>
      <c r="G245" s="113"/>
      <c r="L245" s="117"/>
      <c r="P245" s="113"/>
      <c r="Q245" s="136"/>
      <c r="R245" s="98"/>
      <c r="S245" s="118"/>
      <c r="T245" s="118"/>
      <c r="V245" s="223"/>
      <c r="X245" s="98"/>
      <c r="Z245" s="98"/>
      <c r="AA245" s="98"/>
      <c r="AB245" s="98"/>
      <c r="AC245" s="298"/>
      <c r="AD245" s="53"/>
      <c r="AE245" s="113"/>
      <c r="AF245" s="113"/>
      <c r="AG245" s="113"/>
      <c r="AH245" s="113"/>
      <c r="AI245" s="113"/>
      <c r="AM245" s="115"/>
      <c r="AO245" s="113"/>
      <c r="AP245" s="113"/>
      <c r="AQ245" s="56"/>
      <c r="AR245" s="404"/>
    </row>
    <row r="246" spans="6:44" hidden="1" x14ac:dyDescent="0.25">
      <c r="F246" s="113"/>
      <c r="G246" s="113"/>
      <c r="L246" s="117"/>
      <c r="P246" s="113"/>
      <c r="Q246" s="136"/>
      <c r="R246" s="98"/>
      <c r="S246" s="118"/>
      <c r="T246" s="118"/>
      <c r="V246" s="223"/>
      <c r="X246" s="98"/>
      <c r="Z246" s="98"/>
      <c r="AA246" s="98"/>
      <c r="AB246" s="98"/>
      <c r="AC246" s="298"/>
      <c r="AD246" s="53"/>
      <c r="AE246" s="113"/>
      <c r="AF246" s="113"/>
      <c r="AG246" s="113"/>
      <c r="AH246" s="113"/>
      <c r="AI246" s="113"/>
      <c r="AM246" s="115"/>
      <c r="AO246" s="113"/>
      <c r="AP246" s="113"/>
      <c r="AQ246" s="56"/>
      <c r="AR246" s="404"/>
    </row>
    <row r="247" spans="6:44" hidden="1" x14ac:dyDescent="0.25">
      <c r="F247" s="113"/>
      <c r="G247" s="113"/>
      <c r="L247" s="117"/>
      <c r="P247" s="113"/>
      <c r="Q247" s="136"/>
      <c r="R247" s="98"/>
      <c r="S247" s="118"/>
      <c r="T247" s="118"/>
      <c r="V247" s="223"/>
      <c r="X247" s="98"/>
      <c r="Z247" s="98"/>
      <c r="AA247" s="98"/>
      <c r="AB247" s="98"/>
      <c r="AC247" s="298"/>
      <c r="AD247" s="53"/>
      <c r="AE247" s="113"/>
      <c r="AF247" s="113"/>
      <c r="AG247" s="113"/>
      <c r="AH247" s="113"/>
      <c r="AI247" s="113"/>
      <c r="AM247" s="115"/>
      <c r="AO247" s="113"/>
      <c r="AP247" s="113"/>
      <c r="AQ247" s="56"/>
      <c r="AR247" s="404"/>
    </row>
    <row r="248" spans="6:44" hidden="1" x14ac:dyDescent="0.25">
      <c r="F248" s="113"/>
      <c r="G248" s="113"/>
      <c r="L248" s="117"/>
      <c r="P248" s="113"/>
      <c r="Q248" s="136"/>
      <c r="R248" s="98"/>
      <c r="S248" s="118"/>
      <c r="T248" s="118"/>
      <c r="V248" s="223"/>
      <c r="X248" s="98"/>
      <c r="Z248" s="98"/>
      <c r="AA248" s="98"/>
      <c r="AB248" s="98"/>
      <c r="AC248" s="298"/>
      <c r="AD248" s="53"/>
      <c r="AE248" s="113"/>
      <c r="AF248" s="113"/>
      <c r="AG248" s="113"/>
      <c r="AH248" s="113"/>
      <c r="AI248" s="113"/>
      <c r="AM248" s="115"/>
      <c r="AO248" s="113"/>
      <c r="AP248" s="113"/>
      <c r="AQ248" s="56"/>
      <c r="AR248" s="404"/>
    </row>
    <row r="249" spans="6:44" hidden="1" x14ac:dyDescent="0.25">
      <c r="F249" s="113"/>
      <c r="G249" s="113"/>
      <c r="L249" s="117"/>
      <c r="P249" s="113"/>
      <c r="Q249" s="136"/>
      <c r="R249" s="98"/>
      <c r="S249" s="118"/>
      <c r="T249" s="118"/>
      <c r="V249" s="223"/>
      <c r="X249" s="98"/>
      <c r="Z249" s="98"/>
      <c r="AA249" s="98"/>
      <c r="AB249" s="98"/>
      <c r="AC249" s="298"/>
      <c r="AD249" s="53"/>
      <c r="AE249" s="113"/>
      <c r="AF249" s="113"/>
      <c r="AG249" s="113"/>
      <c r="AH249" s="113"/>
      <c r="AI249" s="113"/>
      <c r="AM249" s="115"/>
      <c r="AO249" s="113"/>
      <c r="AP249" s="113"/>
      <c r="AQ249" s="56"/>
      <c r="AR249" s="404"/>
    </row>
    <row r="250" spans="6:44" hidden="1" x14ac:dyDescent="0.25">
      <c r="F250" s="113"/>
      <c r="G250" s="113"/>
      <c r="L250" s="117"/>
      <c r="P250" s="113"/>
      <c r="Q250" s="136"/>
      <c r="R250" s="98"/>
      <c r="S250" s="118"/>
      <c r="T250" s="118"/>
      <c r="V250" s="223"/>
      <c r="X250" s="98"/>
      <c r="Z250" s="98"/>
      <c r="AA250" s="98"/>
      <c r="AB250" s="98"/>
      <c r="AC250" s="298"/>
      <c r="AD250" s="53"/>
      <c r="AE250" s="113"/>
      <c r="AF250" s="113"/>
      <c r="AG250" s="113"/>
      <c r="AH250" s="113"/>
      <c r="AI250" s="113"/>
      <c r="AM250" s="115"/>
      <c r="AO250" s="113"/>
      <c r="AP250" s="113"/>
      <c r="AQ250" s="56"/>
      <c r="AR250" s="404"/>
    </row>
    <row r="251" spans="6:44" hidden="1" x14ac:dyDescent="0.25">
      <c r="F251" s="113"/>
      <c r="G251" s="113"/>
      <c r="L251" s="117"/>
      <c r="P251" s="113"/>
      <c r="Q251" s="136"/>
      <c r="R251" s="98"/>
      <c r="S251" s="118"/>
      <c r="T251" s="118"/>
      <c r="V251" s="223"/>
      <c r="X251" s="98"/>
      <c r="Z251" s="98"/>
      <c r="AA251" s="98"/>
      <c r="AB251" s="98"/>
      <c r="AC251" s="298"/>
      <c r="AD251" s="53"/>
      <c r="AE251" s="113"/>
      <c r="AF251" s="113"/>
      <c r="AG251" s="113"/>
      <c r="AH251" s="113"/>
      <c r="AI251" s="113"/>
      <c r="AM251" s="115"/>
      <c r="AO251" s="113"/>
      <c r="AP251" s="113"/>
      <c r="AQ251" s="56"/>
      <c r="AR251" s="404"/>
    </row>
    <row r="252" spans="6:44" hidden="1" x14ac:dyDescent="0.25">
      <c r="F252" s="113"/>
      <c r="G252" s="113"/>
      <c r="L252" s="117"/>
      <c r="P252" s="113"/>
      <c r="Q252" s="136"/>
      <c r="R252" s="98"/>
      <c r="S252" s="118"/>
      <c r="T252" s="118"/>
      <c r="V252" s="223"/>
      <c r="X252" s="98"/>
      <c r="Z252" s="98"/>
      <c r="AA252" s="98"/>
      <c r="AB252" s="98"/>
      <c r="AC252" s="298"/>
      <c r="AD252" s="53"/>
      <c r="AE252" s="113"/>
      <c r="AF252" s="113"/>
      <c r="AG252" s="113"/>
      <c r="AH252" s="113"/>
      <c r="AI252" s="113"/>
      <c r="AM252" s="115"/>
      <c r="AO252" s="113"/>
      <c r="AP252" s="113"/>
      <c r="AQ252" s="56"/>
      <c r="AR252" s="404"/>
    </row>
    <row r="253" spans="6:44" hidden="1" x14ac:dyDescent="0.25">
      <c r="F253" s="113"/>
      <c r="G253" s="113"/>
      <c r="L253" s="117"/>
      <c r="P253" s="113"/>
      <c r="Q253" s="136"/>
      <c r="R253" s="98"/>
      <c r="S253" s="118"/>
      <c r="T253" s="118"/>
      <c r="V253" s="223"/>
      <c r="X253" s="98"/>
      <c r="Z253" s="98"/>
      <c r="AA253" s="98"/>
      <c r="AB253" s="98"/>
      <c r="AC253" s="298"/>
      <c r="AD253" s="53"/>
      <c r="AE253" s="113"/>
      <c r="AF253" s="113"/>
      <c r="AG253" s="113"/>
      <c r="AH253" s="113"/>
      <c r="AI253" s="113"/>
      <c r="AM253" s="115"/>
      <c r="AO253" s="113"/>
      <c r="AP253" s="113"/>
      <c r="AQ253" s="56"/>
      <c r="AR253" s="404"/>
    </row>
    <row r="254" spans="6:44" hidden="1" x14ac:dyDescent="0.25">
      <c r="F254" s="113"/>
      <c r="G254" s="113"/>
      <c r="L254" s="117"/>
      <c r="P254" s="113"/>
      <c r="Q254" s="136"/>
      <c r="R254" s="98"/>
      <c r="S254" s="118"/>
      <c r="T254" s="118"/>
      <c r="V254" s="223"/>
      <c r="X254" s="98"/>
      <c r="Z254" s="98"/>
      <c r="AA254" s="98"/>
      <c r="AB254" s="98"/>
      <c r="AC254" s="298"/>
      <c r="AD254" s="53"/>
      <c r="AE254" s="113"/>
      <c r="AF254" s="113"/>
      <c r="AG254" s="113"/>
      <c r="AH254" s="113"/>
      <c r="AI254" s="113"/>
      <c r="AM254" s="115"/>
      <c r="AO254" s="113"/>
      <c r="AP254" s="113"/>
      <c r="AQ254" s="56"/>
      <c r="AR254" s="404"/>
    </row>
    <row r="255" spans="6:44" hidden="1" x14ac:dyDescent="0.25">
      <c r="F255" s="113"/>
      <c r="G255" s="113"/>
      <c r="L255" s="117"/>
      <c r="P255" s="113"/>
      <c r="Q255" s="136"/>
      <c r="R255" s="98"/>
      <c r="S255" s="118"/>
      <c r="T255" s="118"/>
      <c r="V255" s="223"/>
      <c r="X255" s="98"/>
      <c r="Z255" s="98"/>
      <c r="AA255" s="98"/>
      <c r="AB255" s="98"/>
      <c r="AC255" s="298"/>
      <c r="AD255" s="53"/>
      <c r="AE255" s="113"/>
      <c r="AF255" s="113"/>
      <c r="AG255" s="113"/>
      <c r="AH255" s="113"/>
      <c r="AI255" s="113"/>
      <c r="AM255" s="115"/>
      <c r="AO255" s="113"/>
      <c r="AP255" s="113"/>
      <c r="AQ255" s="56"/>
      <c r="AR255" s="404"/>
    </row>
    <row r="256" spans="6:44" hidden="1" x14ac:dyDescent="0.25">
      <c r="F256" s="113"/>
      <c r="G256" s="113"/>
      <c r="L256" s="117"/>
      <c r="P256" s="113"/>
      <c r="Q256" s="136"/>
      <c r="R256" s="98"/>
      <c r="S256" s="118"/>
      <c r="T256" s="118"/>
      <c r="V256" s="223"/>
      <c r="X256" s="98"/>
      <c r="Z256" s="98"/>
      <c r="AA256" s="98"/>
      <c r="AB256" s="98"/>
      <c r="AC256" s="298"/>
      <c r="AD256" s="53"/>
      <c r="AE256" s="113"/>
      <c r="AF256" s="113"/>
      <c r="AG256" s="113"/>
      <c r="AH256" s="113"/>
      <c r="AI256" s="113"/>
      <c r="AM256" s="115"/>
      <c r="AO256" s="113"/>
      <c r="AP256" s="113"/>
      <c r="AQ256" s="56"/>
      <c r="AR256" s="404"/>
    </row>
    <row r="257" spans="6:44" hidden="1" x14ac:dyDescent="0.25">
      <c r="F257" s="113"/>
      <c r="G257" s="113"/>
      <c r="L257" s="117"/>
      <c r="P257" s="113"/>
      <c r="Q257" s="136"/>
      <c r="R257" s="98"/>
      <c r="S257" s="118"/>
      <c r="T257" s="118"/>
      <c r="V257" s="223"/>
      <c r="X257" s="98"/>
      <c r="Z257" s="98"/>
      <c r="AA257" s="98"/>
      <c r="AB257" s="98"/>
      <c r="AC257" s="298"/>
      <c r="AD257" s="53"/>
      <c r="AE257" s="113"/>
      <c r="AF257" s="113"/>
      <c r="AG257" s="113"/>
      <c r="AH257" s="113"/>
      <c r="AI257" s="113"/>
      <c r="AM257" s="115"/>
      <c r="AO257" s="113"/>
      <c r="AP257" s="113"/>
      <c r="AQ257" s="56"/>
      <c r="AR257" s="404"/>
    </row>
    <row r="258" spans="6:44" hidden="1" x14ac:dyDescent="0.25">
      <c r="F258" s="113"/>
      <c r="G258" s="113"/>
      <c r="L258" s="117"/>
      <c r="P258" s="113"/>
      <c r="Q258" s="136"/>
      <c r="R258" s="98"/>
      <c r="S258" s="118"/>
      <c r="T258" s="118"/>
      <c r="V258" s="223"/>
      <c r="X258" s="98"/>
      <c r="Z258" s="98"/>
      <c r="AA258" s="98"/>
      <c r="AB258" s="98"/>
      <c r="AC258" s="298"/>
      <c r="AD258" s="53"/>
      <c r="AE258" s="113"/>
      <c r="AF258" s="113"/>
      <c r="AG258" s="113"/>
      <c r="AH258" s="113"/>
      <c r="AI258" s="113"/>
      <c r="AM258" s="115"/>
      <c r="AO258" s="113"/>
      <c r="AP258" s="113"/>
      <c r="AQ258" s="56"/>
      <c r="AR258" s="404"/>
    </row>
    <row r="259" spans="6:44" hidden="1" x14ac:dyDescent="0.25">
      <c r="F259" s="113"/>
      <c r="G259" s="113"/>
      <c r="L259" s="117"/>
      <c r="P259" s="113"/>
      <c r="Q259" s="136"/>
      <c r="R259" s="98"/>
      <c r="S259" s="118"/>
      <c r="T259" s="118"/>
      <c r="V259" s="223"/>
      <c r="X259" s="98"/>
      <c r="Z259" s="98"/>
      <c r="AA259" s="98"/>
      <c r="AB259" s="98"/>
      <c r="AC259" s="298"/>
      <c r="AD259" s="53"/>
      <c r="AE259" s="113"/>
      <c r="AF259" s="113"/>
      <c r="AG259" s="113"/>
      <c r="AH259" s="113"/>
      <c r="AI259" s="113"/>
      <c r="AM259" s="115"/>
      <c r="AO259" s="113"/>
      <c r="AP259" s="113"/>
      <c r="AQ259" s="56"/>
      <c r="AR259" s="404"/>
    </row>
    <row r="260" spans="6:44" hidden="1" x14ac:dyDescent="0.25">
      <c r="F260" s="113"/>
      <c r="G260" s="113"/>
      <c r="L260" s="117"/>
      <c r="P260" s="113"/>
      <c r="Q260" s="136"/>
      <c r="R260" s="98"/>
      <c r="S260" s="118"/>
      <c r="T260" s="118"/>
      <c r="V260" s="223"/>
      <c r="X260" s="98"/>
      <c r="Z260" s="98"/>
      <c r="AA260" s="98"/>
      <c r="AB260" s="98"/>
      <c r="AC260" s="298"/>
      <c r="AD260" s="53"/>
      <c r="AE260" s="113"/>
      <c r="AF260" s="113"/>
      <c r="AG260" s="113"/>
      <c r="AH260" s="113"/>
      <c r="AI260" s="113"/>
      <c r="AM260" s="115"/>
      <c r="AO260" s="113"/>
      <c r="AP260" s="113"/>
      <c r="AQ260" s="56"/>
      <c r="AR260" s="404"/>
    </row>
    <row r="261" spans="6:44" hidden="1" x14ac:dyDescent="0.25">
      <c r="F261" s="113"/>
      <c r="G261" s="113"/>
      <c r="L261" s="117"/>
      <c r="P261" s="113"/>
      <c r="Q261" s="136"/>
      <c r="R261" s="98"/>
      <c r="S261" s="118"/>
      <c r="T261" s="118"/>
      <c r="V261" s="223"/>
      <c r="X261" s="98"/>
      <c r="Z261" s="98"/>
      <c r="AA261" s="98"/>
      <c r="AB261" s="98"/>
      <c r="AC261" s="298"/>
      <c r="AD261" s="53"/>
      <c r="AE261" s="113"/>
      <c r="AF261" s="113"/>
      <c r="AG261" s="113"/>
      <c r="AH261" s="113"/>
      <c r="AI261" s="113"/>
      <c r="AM261" s="115"/>
      <c r="AO261" s="113"/>
      <c r="AP261" s="113"/>
      <c r="AQ261" s="56"/>
      <c r="AR261" s="404"/>
    </row>
    <row r="262" spans="6:44" hidden="1" x14ac:dyDescent="0.25">
      <c r="F262" s="113"/>
      <c r="G262" s="113"/>
      <c r="L262" s="117"/>
      <c r="P262" s="113"/>
      <c r="Q262" s="136"/>
      <c r="R262" s="98"/>
      <c r="S262" s="118"/>
      <c r="T262" s="118"/>
      <c r="V262" s="223"/>
      <c r="X262" s="98"/>
      <c r="Z262" s="98"/>
      <c r="AA262" s="98"/>
      <c r="AB262" s="98"/>
      <c r="AC262" s="298"/>
      <c r="AD262" s="53"/>
      <c r="AE262" s="113"/>
      <c r="AF262" s="113"/>
      <c r="AG262" s="113"/>
      <c r="AH262" s="113"/>
      <c r="AI262" s="113"/>
      <c r="AM262" s="115"/>
      <c r="AO262" s="113"/>
      <c r="AP262" s="113"/>
      <c r="AQ262" s="56"/>
      <c r="AR262" s="404"/>
    </row>
    <row r="263" spans="6:44" hidden="1" x14ac:dyDescent="0.25">
      <c r="F263" s="113"/>
      <c r="G263" s="113"/>
      <c r="L263" s="117"/>
      <c r="P263" s="113"/>
      <c r="Q263" s="136"/>
      <c r="R263" s="98"/>
      <c r="S263" s="118"/>
      <c r="T263" s="118"/>
      <c r="V263" s="223"/>
      <c r="X263" s="98"/>
      <c r="Z263" s="98"/>
      <c r="AA263" s="98"/>
      <c r="AB263" s="98"/>
      <c r="AC263" s="298"/>
      <c r="AD263" s="53"/>
      <c r="AE263" s="113"/>
      <c r="AF263" s="113"/>
      <c r="AG263" s="113"/>
      <c r="AH263" s="113"/>
      <c r="AI263" s="113"/>
      <c r="AM263" s="115"/>
      <c r="AO263" s="113"/>
      <c r="AP263" s="113"/>
      <c r="AQ263" s="56"/>
      <c r="AR263" s="404"/>
    </row>
    <row r="264" spans="6:44" hidden="1" x14ac:dyDescent="0.25">
      <c r="F264" s="113"/>
      <c r="G264" s="113"/>
      <c r="L264" s="117"/>
      <c r="P264" s="113"/>
      <c r="Q264" s="136"/>
      <c r="R264" s="98"/>
      <c r="S264" s="118"/>
      <c r="T264" s="118"/>
      <c r="V264" s="223"/>
      <c r="X264" s="98"/>
      <c r="Z264" s="98"/>
      <c r="AA264" s="98"/>
      <c r="AB264" s="98"/>
      <c r="AC264" s="298"/>
      <c r="AD264" s="53"/>
      <c r="AE264" s="113"/>
      <c r="AF264" s="113"/>
      <c r="AG264" s="113"/>
      <c r="AH264" s="113"/>
      <c r="AI264" s="113"/>
      <c r="AM264" s="115"/>
      <c r="AO264" s="113"/>
      <c r="AP264" s="113"/>
      <c r="AQ264" s="56"/>
      <c r="AR264" s="404"/>
    </row>
    <row r="265" spans="6:44" hidden="1" x14ac:dyDescent="0.25">
      <c r="F265" s="113"/>
      <c r="G265" s="113"/>
      <c r="L265" s="117"/>
      <c r="P265" s="113"/>
      <c r="Q265" s="136"/>
      <c r="R265" s="98"/>
      <c r="S265" s="118"/>
      <c r="T265" s="118"/>
      <c r="V265" s="223"/>
      <c r="X265" s="98"/>
      <c r="Z265" s="98"/>
      <c r="AA265" s="98"/>
      <c r="AB265" s="98"/>
      <c r="AC265" s="298"/>
      <c r="AD265" s="53"/>
      <c r="AE265" s="113"/>
      <c r="AF265" s="113"/>
      <c r="AG265" s="113"/>
      <c r="AH265" s="113"/>
      <c r="AI265" s="113"/>
      <c r="AM265" s="115"/>
      <c r="AO265" s="113"/>
      <c r="AP265" s="113"/>
      <c r="AQ265" s="56"/>
      <c r="AR265" s="404"/>
    </row>
    <row r="266" spans="6:44" hidden="1" x14ac:dyDescent="0.25">
      <c r="F266" s="113"/>
      <c r="G266" s="113"/>
      <c r="L266" s="117"/>
      <c r="P266" s="113"/>
      <c r="Q266" s="136"/>
      <c r="R266" s="98"/>
      <c r="S266" s="118"/>
      <c r="T266" s="118"/>
      <c r="V266" s="223"/>
      <c r="X266" s="98"/>
      <c r="Z266" s="98"/>
      <c r="AA266" s="98"/>
      <c r="AB266" s="98"/>
      <c r="AC266" s="298"/>
      <c r="AD266" s="53"/>
      <c r="AE266" s="113"/>
      <c r="AF266" s="113"/>
      <c r="AG266" s="113"/>
      <c r="AH266" s="113"/>
      <c r="AI266" s="113"/>
      <c r="AM266" s="115"/>
      <c r="AO266" s="113"/>
      <c r="AP266" s="113"/>
      <c r="AQ266" s="56"/>
      <c r="AR266" s="404"/>
    </row>
    <row r="267" spans="6:44" hidden="1" x14ac:dyDescent="0.25">
      <c r="F267" s="113"/>
      <c r="G267" s="113"/>
      <c r="L267" s="117"/>
      <c r="P267" s="113"/>
      <c r="Q267" s="136"/>
      <c r="R267" s="98"/>
      <c r="S267" s="118"/>
      <c r="T267" s="118"/>
      <c r="V267" s="223"/>
      <c r="X267" s="98"/>
      <c r="Z267" s="98"/>
      <c r="AA267" s="98"/>
      <c r="AB267" s="98"/>
      <c r="AC267" s="298"/>
      <c r="AD267" s="53"/>
      <c r="AE267" s="113"/>
      <c r="AF267" s="113"/>
      <c r="AG267" s="113"/>
      <c r="AH267" s="113"/>
      <c r="AI267" s="113"/>
      <c r="AM267" s="115"/>
      <c r="AO267" s="113"/>
      <c r="AP267" s="113"/>
      <c r="AQ267" s="56"/>
      <c r="AR267" s="404"/>
    </row>
    <row r="268" spans="6:44" hidden="1" x14ac:dyDescent="0.25">
      <c r="F268" s="113"/>
      <c r="G268" s="113"/>
      <c r="L268" s="117"/>
      <c r="P268" s="113"/>
      <c r="Q268" s="136"/>
      <c r="R268" s="98"/>
      <c r="S268" s="118"/>
      <c r="T268" s="118"/>
      <c r="V268" s="223"/>
      <c r="X268" s="98"/>
      <c r="Z268" s="98"/>
      <c r="AA268" s="98"/>
      <c r="AB268" s="98"/>
      <c r="AC268" s="298"/>
      <c r="AD268" s="53"/>
      <c r="AE268" s="113"/>
      <c r="AF268" s="113"/>
      <c r="AG268" s="113"/>
      <c r="AH268" s="113"/>
      <c r="AI268" s="113"/>
      <c r="AM268" s="115"/>
      <c r="AO268" s="113"/>
      <c r="AP268" s="113"/>
      <c r="AQ268" s="56"/>
      <c r="AR268" s="404"/>
    </row>
    <row r="269" spans="6:44" hidden="1" x14ac:dyDescent="0.25">
      <c r="F269" s="113"/>
      <c r="G269" s="113"/>
      <c r="L269" s="117"/>
      <c r="P269" s="113"/>
      <c r="Q269" s="136"/>
      <c r="R269" s="98"/>
      <c r="S269" s="118"/>
      <c r="T269" s="118"/>
      <c r="V269" s="223"/>
      <c r="X269" s="98"/>
      <c r="Z269" s="98"/>
      <c r="AA269" s="98"/>
      <c r="AB269" s="98"/>
      <c r="AC269" s="298"/>
      <c r="AD269" s="53"/>
      <c r="AE269" s="113"/>
      <c r="AF269" s="113"/>
      <c r="AG269" s="113"/>
      <c r="AH269" s="113"/>
      <c r="AI269" s="113"/>
      <c r="AM269" s="115"/>
      <c r="AO269" s="113"/>
      <c r="AP269" s="113"/>
      <c r="AQ269" s="56"/>
      <c r="AR269" s="404"/>
    </row>
    <row r="270" spans="6:44" hidden="1" x14ac:dyDescent="0.25">
      <c r="F270" s="113"/>
      <c r="G270" s="113"/>
      <c r="L270" s="117"/>
      <c r="P270" s="113"/>
      <c r="Q270" s="136"/>
      <c r="R270" s="98"/>
      <c r="S270" s="118"/>
      <c r="T270" s="118"/>
      <c r="V270" s="223"/>
      <c r="X270" s="98"/>
      <c r="Z270" s="98"/>
      <c r="AA270" s="98"/>
      <c r="AB270" s="98"/>
      <c r="AC270" s="298"/>
      <c r="AD270" s="53"/>
      <c r="AE270" s="113"/>
      <c r="AF270" s="113"/>
      <c r="AG270" s="113"/>
      <c r="AH270" s="113"/>
      <c r="AI270" s="113"/>
      <c r="AM270" s="115"/>
      <c r="AO270" s="113"/>
      <c r="AP270" s="113"/>
      <c r="AQ270" s="56"/>
      <c r="AR270" s="404"/>
    </row>
    <row r="271" spans="6:44" hidden="1" x14ac:dyDescent="0.25">
      <c r="F271" s="113"/>
      <c r="G271" s="113"/>
      <c r="L271" s="117"/>
      <c r="P271" s="113"/>
      <c r="Q271" s="136"/>
      <c r="R271" s="98"/>
      <c r="S271" s="118"/>
      <c r="T271" s="118"/>
      <c r="V271" s="223"/>
      <c r="X271" s="98"/>
      <c r="Z271" s="98"/>
      <c r="AA271" s="98"/>
      <c r="AB271" s="98"/>
      <c r="AC271" s="298"/>
      <c r="AD271" s="53"/>
      <c r="AE271" s="113"/>
      <c r="AF271" s="113"/>
      <c r="AG271" s="113"/>
      <c r="AH271" s="113"/>
      <c r="AI271" s="113"/>
      <c r="AM271" s="115"/>
      <c r="AO271" s="113"/>
      <c r="AP271" s="113"/>
      <c r="AQ271" s="56"/>
      <c r="AR271" s="404"/>
    </row>
    <row r="272" spans="6:44" hidden="1" x14ac:dyDescent="0.25">
      <c r="F272" s="113"/>
      <c r="G272" s="113"/>
      <c r="L272" s="117"/>
      <c r="P272" s="113"/>
      <c r="Q272" s="136"/>
      <c r="R272" s="98"/>
      <c r="S272" s="118"/>
      <c r="T272" s="118"/>
      <c r="V272" s="223"/>
      <c r="X272" s="98"/>
      <c r="Z272" s="98"/>
      <c r="AA272" s="98"/>
      <c r="AB272" s="98"/>
      <c r="AC272" s="298"/>
      <c r="AD272" s="53"/>
      <c r="AE272" s="113"/>
      <c r="AF272" s="113"/>
      <c r="AG272" s="113"/>
      <c r="AH272" s="113"/>
      <c r="AI272" s="113"/>
      <c r="AM272" s="115"/>
      <c r="AO272" s="113"/>
      <c r="AP272" s="113"/>
      <c r="AQ272" s="56"/>
      <c r="AR272" s="404"/>
    </row>
    <row r="273" spans="6:44" hidden="1" x14ac:dyDescent="0.25">
      <c r="F273" s="113"/>
      <c r="G273" s="113"/>
      <c r="L273" s="117"/>
      <c r="P273" s="113"/>
      <c r="Q273" s="136"/>
      <c r="R273" s="98"/>
      <c r="S273" s="118"/>
      <c r="T273" s="118"/>
      <c r="V273" s="223"/>
      <c r="X273" s="98"/>
      <c r="Z273" s="98"/>
      <c r="AA273" s="98"/>
      <c r="AB273" s="98"/>
      <c r="AC273" s="298"/>
      <c r="AD273" s="53"/>
      <c r="AE273" s="113"/>
      <c r="AF273" s="113"/>
      <c r="AG273" s="113"/>
      <c r="AH273" s="113"/>
      <c r="AI273" s="113"/>
      <c r="AM273" s="115"/>
      <c r="AO273" s="113"/>
      <c r="AP273" s="113"/>
      <c r="AQ273" s="56"/>
      <c r="AR273" s="404"/>
    </row>
    <row r="274" spans="6:44" hidden="1" x14ac:dyDescent="0.25">
      <c r="F274" s="113"/>
      <c r="G274" s="113"/>
      <c r="L274" s="117"/>
      <c r="P274" s="113"/>
      <c r="Q274" s="136"/>
      <c r="R274" s="98"/>
      <c r="S274" s="118"/>
      <c r="T274" s="118"/>
      <c r="V274" s="223"/>
      <c r="X274" s="98"/>
      <c r="Z274" s="98"/>
      <c r="AA274" s="98"/>
      <c r="AB274" s="98"/>
      <c r="AC274" s="298"/>
      <c r="AD274" s="53"/>
      <c r="AE274" s="113"/>
      <c r="AF274" s="113"/>
      <c r="AG274" s="113"/>
      <c r="AH274" s="113"/>
      <c r="AI274" s="113"/>
      <c r="AM274" s="115"/>
      <c r="AO274" s="113"/>
      <c r="AP274" s="113"/>
      <c r="AQ274" s="56"/>
      <c r="AR274" s="404"/>
    </row>
    <row r="275" spans="6:44" hidden="1" x14ac:dyDescent="0.25">
      <c r="F275" s="113"/>
      <c r="G275" s="113"/>
      <c r="L275" s="117"/>
      <c r="P275" s="113"/>
      <c r="Q275" s="136"/>
      <c r="R275" s="98"/>
      <c r="S275" s="118"/>
      <c r="T275" s="118"/>
      <c r="V275" s="223"/>
      <c r="X275" s="98"/>
      <c r="Z275" s="98"/>
      <c r="AA275" s="98"/>
      <c r="AB275" s="98"/>
      <c r="AC275" s="298"/>
      <c r="AD275" s="53"/>
      <c r="AE275" s="113"/>
      <c r="AF275" s="113"/>
      <c r="AG275" s="113"/>
      <c r="AH275" s="113"/>
      <c r="AI275" s="113"/>
      <c r="AM275" s="115"/>
      <c r="AO275" s="113"/>
      <c r="AP275" s="113"/>
      <c r="AQ275" s="56"/>
      <c r="AR275" s="404"/>
    </row>
    <row r="276" spans="6:44" hidden="1" x14ac:dyDescent="0.25">
      <c r="F276" s="113"/>
      <c r="G276" s="113"/>
      <c r="L276" s="117"/>
      <c r="P276" s="113"/>
      <c r="Q276" s="136"/>
      <c r="R276" s="98"/>
      <c r="S276" s="118"/>
      <c r="T276" s="118"/>
      <c r="V276" s="223"/>
      <c r="X276" s="98"/>
      <c r="Z276" s="98"/>
      <c r="AA276" s="98"/>
      <c r="AB276" s="98"/>
      <c r="AC276" s="298"/>
      <c r="AD276" s="53"/>
      <c r="AE276" s="113"/>
      <c r="AF276" s="113"/>
      <c r="AG276" s="113"/>
      <c r="AH276" s="113"/>
      <c r="AI276" s="113"/>
      <c r="AM276" s="115"/>
      <c r="AO276" s="113"/>
      <c r="AP276" s="113"/>
      <c r="AQ276" s="56"/>
      <c r="AR276" s="404"/>
    </row>
    <row r="277" spans="6:44" hidden="1" x14ac:dyDescent="0.25">
      <c r="F277" s="113"/>
      <c r="G277" s="113"/>
      <c r="L277" s="117"/>
      <c r="P277" s="113"/>
      <c r="Q277" s="136"/>
      <c r="R277" s="98"/>
      <c r="S277" s="118"/>
      <c r="T277" s="118"/>
      <c r="V277" s="223"/>
      <c r="X277" s="98"/>
      <c r="Z277" s="98"/>
      <c r="AA277" s="98"/>
      <c r="AB277" s="98"/>
      <c r="AC277" s="298"/>
      <c r="AD277" s="53"/>
      <c r="AE277" s="113"/>
      <c r="AF277" s="113"/>
      <c r="AG277" s="113"/>
      <c r="AH277" s="113"/>
      <c r="AI277" s="113"/>
      <c r="AM277" s="115"/>
      <c r="AO277" s="113"/>
      <c r="AP277" s="113"/>
      <c r="AQ277" s="56"/>
      <c r="AR277" s="404"/>
    </row>
    <row r="278" spans="6:44" hidden="1" x14ac:dyDescent="0.25">
      <c r="F278" s="113"/>
      <c r="G278" s="113"/>
      <c r="L278" s="117"/>
      <c r="P278" s="113"/>
      <c r="Q278" s="136"/>
      <c r="R278" s="98"/>
      <c r="S278" s="118"/>
      <c r="T278" s="118"/>
      <c r="V278" s="223"/>
      <c r="X278" s="98"/>
      <c r="Z278" s="98"/>
      <c r="AA278" s="98"/>
      <c r="AB278" s="98"/>
      <c r="AC278" s="298"/>
      <c r="AD278" s="53"/>
      <c r="AE278" s="113"/>
      <c r="AF278" s="113"/>
      <c r="AG278" s="113"/>
      <c r="AH278" s="113"/>
      <c r="AI278" s="113"/>
      <c r="AM278" s="115"/>
      <c r="AO278" s="113"/>
      <c r="AP278" s="113"/>
      <c r="AQ278" s="56"/>
      <c r="AR278" s="404"/>
    </row>
    <row r="279" spans="6:44" hidden="1" x14ac:dyDescent="0.25">
      <c r="F279" s="113"/>
      <c r="G279" s="113"/>
      <c r="L279" s="117"/>
      <c r="P279" s="113"/>
      <c r="Q279" s="136"/>
      <c r="R279" s="98"/>
      <c r="S279" s="118"/>
      <c r="T279" s="118"/>
      <c r="V279" s="223"/>
      <c r="X279" s="98"/>
      <c r="Z279" s="98"/>
      <c r="AA279" s="98"/>
      <c r="AB279" s="98"/>
      <c r="AC279" s="298"/>
      <c r="AD279" s="53"/>
      <c r="AE279" s="113"/>
      <c r="AF279" s="113"/>
      <c r="AG279" s="113"/>
      <c r="AH279" s="113"/>
      <c r="AI279" s="113"/>
      <c r="AM279" s="115"/>
      <c r="AO279" s="113"/>
      <c r="AP279" s="113"/>
      <c r="AQ279" s="56"/>
      <c r="AR279" s="404"/>
    </row>
    <row r="280" spans="6:44" hidden="1" x14ac:dyDescent="0.25">
      <c r="F280" s="113"/>
      <c r="G280" s="113"/>
      <c r="L280" s="117"/>
      <c r="P280" s="113"/>
      <c r="Q280" s="136"/>
      <c r="R280" s="98"/>
      <c r="S280" s="118"/>
      <c r="T280" s="118"/>
      <c r="V280" s="223"/>
      <c r="X280" s="98"/>
      <c r="Z280" s="98"/>
      <c r="AA280" s="98"/>
      <c r="AB280" s="98"/>
      <c r="AC280" s="298"/>
      <c r="AD280" s="53"/>
      <c r="AE280" s="113"/>
      <c r="AF280" s="113"/>
      <c r="AG280" s="113"/>
      <c r="AH280" s="113"/>
      <c r="AI280" s="113"/>
      <c r="AM280" s="115"/>
      <c r="AO280" s="113"/>
      <c r="AP280" s="113"/>
      <c r="AQ280" s="56"/>
      <c r="AR280" s="404"/>
    </row>
    <row r="281" spans="6:44" hidden="1" x14ac:dyDescent="0.25">
      <c r="F281" s="113"/>
      <c r="G281" s="113"/>
      <c r="L281" s="117"/>
      <c r="P281" s="113"/>
      <c r="Q281" s="136"/>
      <c r="R281" s="98"/>
      <c r="S281" s="118"/>
      <c r="T281" s="118"/>
      <c r="V281" s="223"/>
      <c r="X281" s="98"/>
      <c r="Z281" s="98"/>
      <c r="AA281" s="98"/>
      <c r="AB281" s="98"/>
      <c r="AC281" s="298"/>
      <c r="AD281" s="53"/>
      <c r="AE281" s="113"/>
      <c r="AF281" s="113"/>
      <c r="AG281" s="113"/>
      <c r="AH281" s="113"/>
      <c r="AI281" s="113"/>
      <c r="AM281" s="115"/>
      <c r="AO281" s="113"/>
      <c r="AP281" s="113"/>
      <c r="AQ281" s="56"/>
      <c r="AR281" s="404"/>
    </row>
    <row r="282" spans="6:44" hidden="1" x14ac:dyDescent="0.25">
      <c r="F282" s="113"/>
      <c r="G282" s="113"/>
      <c r="L282" s="117"/>
      <c r="P282" s="113"/>
      <c r="Q282" s="136"/>
      <c r="R282" s="98"/>
      <c r="S282" s="118"/>
      <c r="T282" s="118"/>
      <c r="V282" s="223"/>
      <c r="X282" s="98"/>
      <c r="Z282" s="98"/>
      <c r="AA282" s="98"/>
      <c r="AB282" s="98"/>
      <c r="AC282" s="298"/>
      <c r="AD282" s="53"/>
      <c r="AE282" s="113"/>
      <c r="AF282" s="113"/>
      <c r="AG282" s="113"/>
      <c r="AH282" s="113"/>
      <c r="AI282" s="113"/>
      <c r="AM282" s="115"/>
      <c r="AO282" s="113"/>
      <c r="AP282" s="113"/>
      <c r="AQ282" s="56"/>
      <c r="AR282" s="404"/>
    </row>
    <row r="283" spans="6:44" hidden="1" x14ac:dyDescent="0.25">
      <c r="F283" s="113"/>
      <c r="G283" s="113"/>
      <c r="L283" s="117"/>
      <c r="P283" s="113"/>
      <c r="Q283" s="136"/>
      <c r="R283" s="98"/>
      <c r="S283" s="118"/>
      <c r="T283" s="118"/>
      <c r="V283" s="223"/>
      <c r="X283" s="98"/>
      <c r="Z283" s="98"/>
      <c r="AA283" s="98"/>
      <c r="AB283" s="98"/>
      <c r="AC283" s="298"/>
      <c r="AD283" s="53"/>
      <c r="AE283" s="113"/>
      <c r="AF283" s="113"/>
      <c r="AG283" s="113"/>
      <c r="AH283" s="113"/>
      <c r="AI283" s="113"/>
      <c r="AM283" s="115"/>
      <c r="AO283" s="113"/>
      <c r="AP283" s="113"/>
      <c r="AQ283" s="56"/>
      <c r="AR283" s="404"/>
    </row>
    <row r="284" spans="6:44" hidden="1" x14ac:dyDescent="0.25">
      <c r="F284" s="113"/>
      <c r="G284" s="113"/>
      <c r="L284" s="117"/>
      <c r="P284" s="113"/>
      <c r="Q284" s="136"/>
      <c r="R284" s="98"/>
      <c r="S284" s="118"/>
      <c r="T284" s="118"/>
      <c r="V284" s="223"/>
      <c r="X284" s="98"/>
      <c r="Z284" s="98"/>
      <c r="AA284" s="98"/>
      <c r="AB284" s="98"/>
      <c r="AC284" s="298"/>
      <c r="AD284" s="53"/>
      <c r="AE284" s="113"/>
      <c r="AF284" s="113"/>
      <c r="AG284" s="113"/>
      <c r="AH284" s="113"/>
      <c r="AI284" s="113"/>
      <c r="AM284" s="115"/>
      <c r="AO284" s="113"/>
      <c r="AP284" s="113"/>
      <c r="AQ284" s="56"/>
      <c r="AR284" s="404"/>
    </row>
    <row r="285" spans="6:44" hidden="1" x14ac:dyDescent="0.25">
      <c r="F285" s="113"/>
      <c r="G285" s="113"/>
      <c r="L285" s="117"/>
      <c r="P285" s="113"/>
      <c r="Q285" s="136"/>
      <c r="R285" s="98"/>
      <c r="S285" s="118"/>
      <c r="T285" s="118"/>
      <c r="V285" s="223"/>
      <c r="X285" s="98"/>
      <c r="Z285" s="98"/>
      <c r="AA285" s="98"/>
      <c r="AB285" s="98"/>
      <c r="AC285" s="298"/>
      <c r="AD285" s="53"/>
      <c r="AE285" s="113"/>
      <c r="AF285" s="113"/>
      <c r="AG285" s="113"/>
      <c r="AH285" s="113"/>
      <c r="AI285" s="113"/>
      <c r="AM285" s="115"/>
      <c r="AO285" s="113"/>
      <c r="AP285" s="113"/>
      <c r="AQ285" s="56"/>
      <c r="AR285" s="404"/>
    </row>
    <row r="286" spans="6:44" hidden="1" x14ac:dyDescent="0.25">
      <c r="F286" s="113"/>
      <c r="G286" s="113"/>
      <c r="L286" s="117"/>
      <c r="P286" s="113"/>
      <c r="Q286" s="136"/>
      <c r="R286" s="98"/>
      <c r="S286" s="118"/>
      <c r="T286" s="118"/>
      <c r="V286" s="223"/>
      <c r="X286" s="98"/>
      <c r="Z286" s="98"/>
      <c r="AA286" s="98"/>
      <c r="AB286" s="98"/>
      <c r="AC286" s="298"/>
      <c r="AD286" s="53"/>
      <c r="AE286" s="113"/>
      <c r="AF286" s="113"/>
      <c r="AG286" s="113"/>
      <c r="AH286" s="113"/>
      <c r="AI286" s="113"/>
      <c r="AM286" s="115"/>
      <c r="AO286" s="113"/>
      <c r="AP286" s="113"/>
      <c r="AQ286" s="56"/>
      <c r="AR286" s="404"/>
    </row>
    <row r="287" spans="6:44" hidden="1" x14ac:dyDescent="0.25">
      <c r="F287" s="113"/>
      <c r="G287" s="113"/>
      <c r="L287" s="117"/>
      <c r="P287" s="113"/>
      <c r="Q287" s="136"/>
      <c r="R287" s="98"/>
      <c r="S287" s="118"/>
      <c r="T287" s="118"/>
      <c r="V287" s="223"/>
      <c r="X287" s="98"/>
      <c r="Z287" s="98"/>
      <c r="AA287" s="98"/>
      <c r="AB287" s="98"/>
      <c r="AC287" s="298"/>
      <c r="AD287" s="53"/>
      <c r="AE287" s="113"/>
      <c r="AF287" s="113"/>
      <c r="AG287" s="113"/>
      <c r="AH287" s="113"/>
      <c r="AI287" s="113"/>
      <c r="AM287" s="115"/>
      <c r="AO287" s="113"/>
      <c r="AP287" s="113"/>
      <c r="AQ287" s="56"/>
      <c r="AR287" s="404"/>
    </row>
    <row r="288" spans="6:44" hidden="1" x14ac:dyDescent="0.25">
      <c r="F288" s="113"/>
      <c r="G288" s="113"/>
      <c r="L288" s="117"/>
      <c r="P288" s="113"/>
      <c r="Q288" s="136"/>
      <c r="R288" s="98"/>
      <c r="S288" s="118"/>
      <c r="T288" s="118"/>
      <c r="V288" s="223"/>
      <c r="X288" s="98"/>
      <c r="Z288" s="98"/>
      <c r="AA288" s="98"/>
      <c r="AB288" s="98"/>
      <c r="AC288" s="298"/>
      <c r="AD288" s="53"/>
      <c r="AE288" s="113"/>
      <c r="AF288" s="113"/>
      <c r="AG288" s="113"/>
      <c r="AH288" s="113"/>
      <c r="AI288" s="113"/>
      <c r="AM288" s="115"/>
      <c r="AO288" s="113"/>
      <c r="AP288" s="113"/>
      <c r="AQ288" s="56"/>
      <c r="AR288" s="404"/>
    </row>
    <row r="289" spans="6:44" hidden="1" x14ac:dyDescent="0.25">
      <c r="F289" s="113"/>
      <c r="G289" s="113"/>
      <c r="L289" s="117"/>
      <c r="P289" s="113"/>
      <c r="Q289" s="136"/>
      <c r="R289" s="98"/>
      <c r="S289" s="118"/>
      <c r="T289" s="118"/>
      <c r="V289" s="223"/>
      <c r="X289" s="98"/>
      <c r="Z289" s="98"/>
      <c r="AA289" s="98"/>
      <c r="AB289" s="98"/>
      <c r="AC289" s="298"/>
      <c r="AD289" s="53"/>
      <c r="AE289" s="113"/>
      <c r="AF289" s="113"/>
      <c r="AG289" s="113"/>
      <c r="AH289" s="113"/>
      <c r="AI289" s="113"/>
      <c r="AM289" s="115"/>
      <c r="AO289" s="113"/>
      <c r="AP289" s="113"/>
      <c r="AQ289" s="56"/>
      <c r="AR289" s="404"/>
    </row>
    <row r="290" spans="6:44" hidden="1" x14ac:dyDescent="0.25">
      <c r="F290" s="113"/>
      <c r="G290" s="113"/>
      <c r="L290" s="117"/>
      <c r="P290" s="113"/>
      <c r="Q290" s="136"/>
      <c r="R290" s="98"/>
      <c r="S290" s="118"/>
      <c r="T290" s="118"/>
      <c r="V290" s="223"/>
      <c r="X290" s="98"/>
      <c r="Z290" s="98"/>
      <c r="AA290" s="98"/>
      <c r="AB290" s="98"/>
      <c r="AC290" s="298"/>
      <c r="AD290" s="53"/>
      <c r="AE290" s="113"/>
      <c r="AF290" s="113"/>
      <c r="AG290" s="113"/>
      <c r="AH290" s="113"/>
      <c r="AI290" s="113"/>
      <c r="AM290" s="115"/>
      <c r="AO290" s="113"/>
      <c r="AP290" s="113"/>
      <c r="AQ290" s="56"/>
      <c r="AR290" s="404"/>
    </row>
    <row r="291" spans="6:44" hidden="1" x14ac:dyDescent="0.25">
      <c r="F291" s="113"/>
      <c r="G291" s="113"/>
      <c r="L291" s="117"/>
      <c r="P291" s="113"/>
      <c r="Q291" s="136"/>
      <c r="R291" s="98"/>
      <c r="S291" s="118"/>
      <c r="T291" s="118"/>
      <c r="V291" s="223"/>
      <c r="X291" s="98"/>
      <c r="Z291" s="98"/>
      <c r="AA291" s="98"/>
      <c r="AB291" s="98"/>
      <c r="AC291" s="298"/>
      <c r="AD291" s="53"/>
      <c r="AE291" s="113"/>
      <c r="AF291" s="113"/>
      <c r="AG291" s="113"/>
      <c r="AH291" s="113"/>
      <c r="AI291" s="113"/>
      <c r="AM291" s="115"/>
      <c r="AO291" s="113"/>
      <c r="AP291" s="113"/>
      <c r="AQ291" s="56"/>
      <c r="AR291" s="404"/>
    </row>
    <row r="292" spans="6:44" hidden="1" x14ac:dyDescent="0.25">
      <c r="F292" s="113"/>
      <c r="G292" s="113"/>
      <c r="L292" s="117"/>
      <c r="P292" s="113"/>
      <c r="Q292" s="136"/>
      <c r="R292" s="98"/>
      <c r="S292" s="118"/>
      <c r="T292" s="118"/>
      <c r="V292" s="223"/>
      <c r="X292" s="98"/>
      <c r="Z292" s="98"/>
      <c r="AA292" s="98"/>
      <c r="AB292" s="98"/>
      <c r="AC292" s="298"/>
      <c r="AD292" s="53"/>
      <c r="AE292" s="113"/>
      <c r="AF292" s="113"/>
      <c r="AG292" s="113"/>
      <c r="AH292" s="113"/>
      <c r="AI292" s="113"/>
      <c r="AM292" s="115"/>
      <c r="AO292" s="113"/>
      <c r="AP292" s="113"/>
      <c r="AQ292" s="56"/>
      <c r="AR292" s="404"/>
    </row>
    <row r="293" spans="6:44" hidden="1" x14ac:dyDescent="0.25">
      <c r="F293" s="113"/>
      <c r="G293" s="113"/>
      <c r="L293" s="117"/>
      <c r="P293" s="113"/>
      <c r="Q293" s="136"/>
      <c r="R293" s="98"/>
      <c r="S293" s="118"/>
      <c r="T293" s="118"/>
      <c r="V293" s="223"/>
      <c r="X293" s="98"/>
      <c r="Z293" s="98"/>
      <c r="AA293" s="98"/>
      <c r="AB293" s="98"/>
      <c r="AC293" s="298"/>
      <c r="AD293" s="53"/>
      <c r="AE293" s="113"/>
      <c r="AF293" s="113"/>
      <c r="AG293" s="113"/>
      <c r="AH293" s="113"/>
      <c r="AI293" s="113"/>
      <c r="AM293" s="115"/>
      <c r="AO293" s="113"/>
      <c r="AP293" s="113"/>
      <c r="AQ293" s="56"/>
      <c r="AR293" s="404"/>
    </row>
    <row r="294" spans="6:44" hidden="1" x14ac:dyDescent="0.25">
      <c r="F294" s="113"/>
      <c r="G294" s="113"/>
      <c r="L294" s="117"/>
      <c r="P294" s="113"/>
      <c r="Q294" s="136"/>
      <c r="R294" s="98"/>
      <c r="S294" s="118"/>
      <c r="T294" s="118"/>
      <c r="V294" s="223"/>
      <c r="X294" s="98"/>
      <c r="Z294" s="98"/>
      <c r="AA294" s="98"/>
      <c r="AB294" s="98"/>
      <c r="AC294" s="298"/>
      <c r="AD294" s="53"/>
      <c r="AE294" s="113"/>
      <c r="AF294" s="113"/>
      <c r="AG294" s="113"/>
      <c r="AH294" s="113"/>
      <c r="AI294" s="113"/>
      <c r="AM294" s="115"/>
      <c r="AO294" s="113"/>
      <c r="AP294" s="113"/>
      <c r="AQ294" s="56"/>
      <c r="AR294" s="404"/>
    </row>
    <row r="295" spans="6:44" hidden="1" x14ac:dyDescent="0.25">
      <c r="F295" s="113"/>
      <c r="G295" s="113"/>
      <c r="L295" s="117"/>
      <c r="P295" s="113"/>
      <c r="Q295" s="136"/>
      <c r="R295" s="98"/>
      <c r="S295" s="118"/>
      <c r="T295" s="118"/>
      <c r="V295" s="223"/>
      <c r="X295" s="98"/>
      <c r="Z295" s="98"/>
      <c r="AA295" s="98"/>
      <c r="AB295" s="98"/>
      <c r="AC295" s="298"/>
      <c r="AD295" s="53"/>
      <c r="AE295" s="113"/>
      <c r="AF295" s="113"/>
      <c r="AG295" s="113"/>
      <c r="AH295" s="113"/>
      <c r="AI295" s="113"/>
      <c r="AM295" s="115"/>
      <c r="AO295" s="113"/>
      <c r="AP295" s="113"/>
      <c r="AQ295" s="56"/>
      <c r="AR295" s="404"/>
    </row>
    <row r="296" spans="6:44" hidden="1" x14ac:dyDescent="0.25">
      <c r="F296" s="113"/>
      <c r="G296" s="113"/>
      <c r="L296" s="117"/>
      <c r="P296" s="113"/>
      <c r="Q296" s="136"/>
      <c r="R296" s="98"/>
      <c r="S296" s="118"/>
      <c r="T296" s="118"/>
      <c r="V296" s="223"/>
      <c r="X296" s="98"/>
      <c r="Z296" s="98"/>
      <c r="AA296" s="98"/>
      <c r="AB296" s="98"/>
      <c r="AC296" s="298"/>
      <c r="AD296" s="53"/>
      <c r="AE296" s="113"/>
      <c r="AF296" s="113"/>
      <c r="AG296" s="113"/>
      <c r="AH296" s="113"/>
      <c r="AI296" s="113"/>
      <c r="AM296" s="115"/>
      <c r="AO296" s="113"/>
      <c r="AP296" s="113"/>
      <c r="AQ296" s="56"/>
      <c r="AR296" s="404"/>
    </row>
    <row r="297" spans="6:44" hidden="1" x14ac:dyDescent="0.25">
      <c r="F297" s="113"/>
      <c r="G297" s="113"/>
      <c r="L297" s="117"/>
      <c r="P297" s="113"/>
      <c r="Q297" s="136"/>
      <c r="R297" s="98"/>
      <c r="S297" s="118"/>
      <c r="T297" s="118"/>
      <c r="V297" s="223"/>
      <c r="X297" s="98"/>
      <c r="Z297" s="98"/>
      <c r="AA297" s="98"/>
      <c r="AB297" s="98"/>
      <c r="AC297" s="298"/>
      <c r="AD297" s="53"/>
      <c r="AE297" s="113"/>
      <c r="AF297" s="113"/>
      <c r="AG297" s="113"/>
      <c r="AH297" s="113"/>
      <c r="AI297" s="113"/>
      <c r="AM297" s="115"/>
      <c r="AO297" s="113"/>
      <c r="AP297" s="113"/>
      <c r="AQ297" s="56"/>
      <c r="AR297" s="404"/>
    </row>
    <row r="298" spans="6:44" hidden="1" x14ac:dyDescent="0.25">
      <c r="F298" s="113"/>
      <c r="G298" s="113"/>
      <c r="L298" s="117"/>
      <c r="P298" s="113"/>
      <c r="Q298" s="136"/>
      <c r="R298" s="98"/>
      <c r="S298" s="118"/>
      <c r="T298" s="118"/>
      <c r="V298" s="223"/>
      <c r="X298" s="98"/>
      <c r="Z298" s="98"/>
      <c r="AA298" s="98"/>
      <c r="AB298" s="98"/>
      <c r="AC298" s="298"/>
      <c r="AD298" s="53"/>
      <c r="AE298" s="113"/>
      <c r="AF298" s="113"/>
      <c r="AG298" s="113"/>
      <c r="AH298" s="113"/>
      <c r="AI298" s="113"/>
      <c r="AM298" s="115"/>
      <c r="AO298" s="113"/>
      <c r="AP298" s="113"/>
      <c r="AQ298" s="56"/>
      <c r="AR298" s="404"/>
    </row>
    <row r="299" spans="6:44" hidden="1" x14ac:dyDescent="0.25">
      <c r="F299" s="113"/>
      <c r="G299" s="113"/>
      <c r="L299" s="117"/>
      <c r="P299" s="113"/>
      <c r="Q299" s="136"/>
      <c r="R299" s="98"/>
      <c r="S299" s="118"/>
      <c r="T299" s="118"/>
      <c r="V299" s="223"/>
      <c r="X299" s="98"/>
      <c r="Z299" s="98"/>
      <c r="AA299" s="98"/>
      <c r="AB299" s="98"/>
      <c r="AC299" s="298"/>
      <c r="AD299" s="53"/>
      <c r="AE299" s="113"/>
      <c r="AF299" s="113"/>
      <c r="AG299" s="113"/>
      <c r="AH299" s="113"/>
      <c r="AI299" s="113"/>
      <c r="AM299" s="115"/>
      <c r="AO299" s="113"/>
      <c r="AP299" s="113"/>
      <c r="AQ299" s="56"/>
      <c r="AR299" s="404"/>
    </row>
    <row r="300" spans="6:44" hidden="1" x14ac:dyDescent="0.25">
      <c r="F300" s="113"/>
      <c r="G300" s="113"/>
      <c r="L300" s="117"/>
      <c r="P300" s="113"/>
      <c r="Q300" s="136"/>
      <c r="R300" s="98"/>
      <c r="S300" s="118"/>
      <c r="T300" s="118"/>
      <c r="V300" s="223"/>
      <c r="X300" s="98"/>
      <c r="Z300" s="98"/>
      <c r="AA300" s="98"/>
      <c r="AB300" s="98"/>
      <c r="AC300" s="298"/>
      <c r="AD300" s="53"/>
      <c r="AE300" s="113"/>
      <c r="AF300" s="113"/>
      <c r="AG300" s="113"/>
      <c r="AH300" s="113"/>
      <c r="AI300" s="113"/>
      <c r="AM300" s="115"/>
      <c r="AO300" s="113"/>
      <c r="AP300" s="113"/>
      <c r="AQ300" s="56"/>
      <c r="AR300" s="404"/>
    </row>
    <row r="301" spans="6:44" hidden="1" x14ac:dyDescent="0.25">
      <c r="F301" s="113"/>
      <c r="G301" s="113"/>
      <c r="L301" s="117"/>
      <c r="P301" s="113"/>
      <c r="Q301" s="136"/>
      <c r="R301" s="98"/>
      <c r="S301" s="118"/>
      <c r="T301" s="118"/>
      <c r="V301" s="223"/>
      <c r="X301" s="98"/>
      <c r="Z301" s="98"/>
      <c r="AA301" s="98"/>
      <c r="AB301" s="98"/>
      <c r="AC301" s="298"/>
      <c r="AD301" s="53"/>
      <c r="AE301" s="113"/>
      <c r="AF301" s="113"/>
      <c r="AG301" s="113"/>
      <c r="AH301" s="113"/>
      <c r="AI301" s="113"/>
      <c r="AM301" s="115"/>
      <c r="AO301" s="113"/>
      <c r="AP301" s="113"/>
      <c r="AQ301" s="56"/>
      <c r="AR301" s="404"/>
    </row>
    <row r="302" spans="6:44" hidden="1" x14ac:dyDescent="0.25">
      <c r="F302" s="113"/>
      <c r="G302" s="113"/>
      <c r="L302" s="117"/>
      <c r="P302" s="113"/>
      <c r="Q302" s="136"/>
      <c r="R302" s="98"/>
      <c r="S302" s="118"/>
      <c r="T302" s="118"/>
      <c r="V302" s="223"/>
      <c r="X302" s="98"/>
      <c r="Z302" s="98"/>
      <c r="AA302" s="98"/>
      <c r="AB302" s="98"/>
      <c r="AC302" s="298"/>
      <c r="AD302" s="53"/>
      <c r="AE302" s="113"/>
      <c r="AF302" s="113"/>
      <c r="AG302" s="113"/>
      <c r="AH302" s="113"/>
      <c r="AI302" s="113"/>
      <c r="AM302" s="115"/>
      <c r="AO302" s="113"/>
      <c r="AP302" s="113"/>
      <c r="AQ302" s="56"/>
      <c r="AR302" s="404"/>
    </row>
    <row r="303" spans="6:44" hidden="1" x14ac:dyDescent="0.25">
      <c r="F303" s="113"/>
      <c r="G303" s="113"/>
      <c r="L303" s="117"/>
      <c r="P303" s="113"/>
      <c r="Q303" s="136"/>
      <c r="R303" s="98"/>
      <c r="S303" s="118"/>
      <c r="T303" s="118"/>
      <c r="V303" s="223"/>
      <c r="X303" s="98"/>
      <c r="Z303" s="98"/>
      <c r="AA303" s="98"/>
      <c r="AB303" s="98"/>
      <c r="AC303" s="298"/>
      <c r="AD303" s="53"/>
      <c r="AE303" s="113"/>
      <c r="AF303" s="113"/>
      <c r="AG303" s="113"/>
      <c r="AH303" s="113"/>
      <c r="AI303" s="113"/>
      <c r="AM303" s="115"/>
      <c r="AO303" s="113"/>
      <c r="AP303" s="113"/>
      <c r="AQ303" s="56"/>
      <c r="AR303" s="404"/>
    </row>
    <row r="304" spans="6:44" hidden="1" x14ac:dyDescent="0.25">
      <c r="F304" s="113"/>
      <c r="G304" s="113"/>
      <c r="L304" s="117"/>
      <c r="P304" s="113"/>
      <c r="Q304" s="136"/>
      <c r="R304" s="98"/>
      <c r="S304" s="118"/>
      <c r="T304" s="118"/>
      <c r="V304" s="223"/>
      <c r="X304" s="98"/>
      <c r="Z304" s="98"/>
      <c r="AA304" s="98"/>
      <c r="AB304" s="98"/>
      <c r="AC304" s="298"/>
      <c r="AD304" s="53"/>
      <c r="AE304" s="113"/>
      <c r="AF304" s="113"/>
      <c r="AG304" s="113"/>
      <c r="AH304" s="113"/>
      <c r="AI304" s="113"/>
      <c r="AM304" s="115"/>
      <c r="AO304" s="113"/>
      <c r="AP304" s="113"/>
      <c r="AQ304" s="56"/>
      <c r="AR304" s="404"/>
    </row>
    <row r="305" spans="6:44" hidden="1" x14ac:dyDescent="0.25">
      <c r="F305" s="113"/>
      <c r="G305" s="113"/>
      <c r="L305" s="117"/>
      <c r="P305" s="113"/>
      <c r="Q305" s="136"/>
      <c r="R305" s="98"/>
      <c r="S305" s="118"/>
      <c r="T305" s="118"/>
      <c r="V305" s="223"/>
      <c r="X305" s="98"/>
      <c r="Z305" s="98"/>
      <c r="AA305" s="98"/>
      <c r="AB305" s="98"/>
      <c r="AC305" s="298"/>
      <c r="AD305" s="53"/>
      <c r="AE305" s="113"/>
      <c r="AF305" s="113"/>
      <c r="AG305" s="113"/>
      <c r="AH305" s="113"/>
      <c r="AI305" s="113"/>
      <c r="AM305" s="115"/>
      <c r="AO305" s="113"/>
      <c r="AP305" s="113"/>
      <c r="AQ305" s="56"/>
      <c r="AR305" s="404"/>
    </row>
    <row r="306" spans="6:44" hidden="1" x14ac:dyDescent="0.25">
      <c r="F306" s="113"/>
      <c r="G306" s="113"/>
      <c r="L306" s="117"/>
      <c r="P306" s="113"/>
      <c r="Q306" s="136"/>
      <c r="R306" s="98"/>
      <c r="S306" s="118"/>
      <c r="T306" s="118"/>
      <c r="V306" s="223"/>
      <c r="X306" s="98"/>
      <c r="Z306" s="98"/>
      <c r="AA306" s="98"/>
      <c r="AB306" s="98"/>
      <c r="AC306" s="298"/>
      <c r="AD306" s="53"/>
      <c r="AE306" s="113"/>
      <c r="AF306" s="113"/>
      <c r="AG306" s="113"/>
      <c r="AH306" s="113"/>
      <c r="AI306" s="113"/>
      <c r="AM306" s="115"/>
      <c r="AO306" s="113"/>
      <c r="AP306" s="113"/>
      <c r="AQ306" s="56"/>
      <c r="AR306" s="404"/>
    </row>
    <row r="307" spans="6:44" hidden="1" x14ac:dyDescent="0.25">
      <c r="F307" s="113"/>
      <c r="G307" s="113"/>
      <c r="L307" s="117"/>
      <c r="P307" s="113"/>
      <c r="Q307" s="136"/>
      <c r="R307" s="98"/>
      <c r="S307" s="118"/>
      <c r="T307" s="118"/>
      <c r="V307" s="223"/>
      <c r="X307" s="98"/>
      <c r="Z307" s="98"/>
      <c r="AA307" s="98"/>
      <c r="AB307" s="98"/>
      <c r="AC307" s="298"/>
      <c r="AD307" s="53"/>
      <c r="AE307" s="113"/>
      <c r="AF307" s="113"/>
      <c r="AG307" s="113"/>
      <c r="AH307" s="113"/>
      <c r="AI307" s="113"/>
      <c r="AM307" s="115"/>
      <c r="AO307" s="113"/>
      <c r="AP307" s="113"/>
      <c r="AQ307" s="56"/>
      <c r="AR307" s="404"/>
    </row>
    <row r="308" spans="6:44" hidden="1" x14ac:dyDescent="0.25">
      <c r="F308" s="113"/>
      <c r="G308" s="113"/>
      <c r="L308" s="117"/>
      <c r="P308" s="113"/>
      <c r="Q308" s="136"/>
      <c r="R308" s="98"/>
      <c r="S308" s="118"/>
      <c r="T308" s="118"/>
      <c r="V308" s="223"/>
      <c r="X308" s="98"/>
      <c r="Z308" s="98"/>
      <c r="AA308" s="98"/>
      <c r="AB308" s="98"/>
      <c r="AC308" s="298"/>
      <c r="AD308" s="53"/>
      <c r="AE308" s="113"/>
      <c r="AF308" s="113"/>
      <c r="AG308" s="113"/>
      <c r="AH308" s="113"/>
      <c r="AI308" s="113"/>
      <c r="AM308" s="115"/>
      <c r="AO308" s="113"/>
      <c r="AP308" s="113"/>
      <c r="AQ308" s="56"/>
      <c r="AR308" s="404"/>
    </row>
    <row r="309" spans="6:44" hidden="1" x14ac:dyDescent="0.25">
      <c r="F309" s="113"/>
      <c r="G309" s="113"/>
      <c r="L309" s="117"/>
      <c r="P309" s="113"/>
      <c r="Q309" s="136"/>
      <c r="R309" s="98"/>
      <c r="S309" s="118"/>
      <c r="T309" s="118"/>
      <c r="V309" s="223"/>
      <c r="X309" s="98"/>
      <c r="Z309" s="98"/>
      <c r="AA309" s="98"/>
      <c r="AB309" s="98"/>
      <c r="AC309" s="298"/>
      <c r="AD309" s="53"/>
      <c r="AE309" s="113"/>
      <c r="AF309" s="113"/>
      <c r="AG309" s="113"/>
      <c r="AH309" s="113"/>
      <c r="AI309" s="113"/>
      <c r="AM309" s="115"/>
      <c r="AO309" s="113"/>
      <c r="AP309" s="113"/>
      <c r="AQ309" s="56"/>
      <c r="AR309" s="404"/>
    </row>
    <row r="310" spans="6:44" hidden="1" x14ac:dyDescent="0.25">
      <c r="F310" s="113"/>
      <c r="G310" s="113"/>
      <c r="L310" s="117"/>
      <c r="P310" s="113"/>
      <c r="Q310" s="136"/>
      <c r="R310" s="98"/>
      <c r="S310" s="118"/>
      <c r="T310" s="118"/>
      <c r="V310" s="223"/>
      <c r="X310" s="98"/>
      <c r="Z310" s="98"/>
      <c r="AA310" s="98"/>
      <c r="AB310" s="98"/>
      <c r="AC310" s="298"/>
      <c r="AD310" s="53"/>
      <c r="AE310" s="113"/>
      <c r="AF310" s="113"/>
      <c r="AG310" s="113"/>
      <c r="AH310" s="113"/>
      <c r="AI310" s="113"/>
      <c r="AM310" s="115"/>
      <c r="AO310" s="113"/>
      <c r="AP310" s="113"/>
      <c r="AQ310" s="56"/>
      <c r="AR310" s="404"/>
    </row>
    <row r="311" spans="6:44" hidden="1" x14ac:dyDescent="0.25">
      <c r="F311" s="113"/>
      <c r="G311" s="113"/>
      <c r="L311" s="117"/>
      <c r="P311" s="113"/>
      <c r="Q311" s="136"/>
      <c r="R311" s="98"/>
      <c r="S311" s="118"/>
      <c r="T311" s="118"/>
      <c r="V311" s="223"/>
      <c r="X311" s="98"/>
      <c r="Z311" s="98"/>
      <c r="AA311" s="98"/>
      <c r="AB311" s="98"/>
      <c r="AC311" s="298"/>
      <c r="AD311" s="53"/>
      <c r="AE311" s="113"/>
      <c r="AF311" s="113"/>
      <c r="AG311" s="113"/>
      <c r="AH311" s="113"/>
      <c r="AI311" s="113"/>
      <c r="AM311" s="115"/>
      <c r="AO311" s="113"/>
      <c r="AP311" s="113"/>
      <c r="AQ311" s="56"/>
      <c r="AR311" s="404"/>
    </row>
    <row r="312" spans="6:44" hidden="1" x14ac:dyDescent="0.25">
      <c r="F312" s="113"/>
      <c r="G312" s="113"/>
      <c r="L312" s="117"/>
      <c r="P312" s="113"/>
      <c r="Q312" s="136"/>
      <c r="R312" s="98"/>
      <c r="S312" s="118"/>
      <c r="T312" s="118"/>
      <c r="V312" s="223"/>
      <c r="X312" s="98"/>
      <c r="Z312" s="98"/>
      <c r="AA312" s="98"/>
      <c r="AB312" s="98"/>
      <c r="AC312" s="298"/>
      <c r="AD312" s="53"/>
      <c r="AE312" s="113"/>
      <c r="AF312" s="113"/>
      <c r="AG312" s="113"/>
      <c r="AH312" s="113"/>
      <c r="AI312" s="113"/>
      <c r="AM312" s="115"/>
      <c r="AO312" s="113"/>
      <c r="AP312" s="113"/>
      <c r="AQ312" s="56"/>
      <c r="AR312" s="404"/>
    </row>
    <row r="313" spans="6:44" hidden="1" x14ac:dyDescent="0.25">
      <c r="F313" s="113"/>
      <c r="G313" s="113"/>
      <c r="L313" s="117"/>
      <c r="P313" s="113"/>
      <c r="Q313" s="136"/>
      <c r="R313" s="98"/>
      <c r="S313" s="118"/>
      <c r="T313" s="118"/>
      <c r="V313" s="223"/>
      <c r="X313" s="98"/>
      <c r="Z313" s="98"/>
      <c r="AA313" s="98"/>
      <c r="AB313" s="98"/>
      <c r="AC313" s="298"/>
      <c r="AD313" s="53"/>
      <c r="AE313" s="113"/>
      <c r="AF313" s="113"/>
      <c r="AG313" s="113"/>
      <c r="AH313" s="113"/>
      <c r="AI313" s="113"/>
      <c r="AM313" s="115"/>
      <c r="AO313" s="113"/>
      <c r="AP313" s="113"/>
      <c r="AQ313" s="56"/>
      <c r="AR313" s="404"/>
    </row>
    <row r="314" spans="6:44" hidden="1" x14ac:dyDescent="0.25">
      <c r="F314" s="113"/>
      <c r="G314" s="113"/>
      <c r="L314" s="117"/>
      <c r="P314" s="113"/>
      <c r="Q314" s="136"/>
      <c r="R314" s="98"/>
      <c r="S314" s="118"/>
      <c r="T314" s="118"/>
      <c r="V314" s="223"/>
      <c r="X314" s="98"/>
      <c r="Z314" s="98"/>
      <c r="AA314" s="98"/>
      <c r="AB314" s="98"/>
      <c r="AC314" s="298"/>
      <c r="AD314" s="53"/>
      <c r="AE314" s="113"/>
      <c r="AF314" s="113"/>
      <c r="AG314" s="113"/>
      <c r="AH314" s="113"/>
      <c r="AI314" s="113"/>
      <c r="AM314" s="115"/>
      <c r="AO314" s="113"/>
      <c r="AP314" s="113"/>
      <c r="AQ314" s="56"/>
      <c r="AR314" s="404"/>
    </row>
    <row r="315" spans="6:44" hidden="1" x14ac:dyDescent="0.25">
      <c r="F315" s="113"/>
      <c r="G315" s="113"/>
      <c r="L315" s="117"/>
      <c r="P315" s="113"/>
      <c r="Q315" s="136"/>
      <c r="R315" s="98"/>
      <c r="S315" s="118"/>
      <c r="T315" s="118"/>
      <c r="V315" s="223"/>
      <c r="X315" s="98"/>
      <c r="Z315" s="98"/>
      <c r="AA315" s="98"/>
      <c r="AB315" s="98"/>
      <c r="AC315" s="298"/>
      <c r="AD315" s="53"/>
      <c r="AE315" s="113"/>
      <c r="AF315" s="113"/>
      <c r="AG315" s="113"/>
      <c r="AH315" s="113"/>
      <c r="AI315" s="113"/>
      <c r="AM315" s="115"/>
      <c r="AO315" s="113"/>
      <c r="AP315" s="113"/>
      <c r="AQ315" s="56"/>
      <c r="AR315" s="404"/>
    </row>
    <row r="316" spans="6:44" hidden="1" x14ac:dyDescent="0.25">
      <c r="F316" s="113"/>
      <c r="G316" s="113"/>
      <c r="L316" s="117"/>
      <c r="P316" s="113"/>
      <c r="Q316" s="136"/>
      <c r="R316" s="98"/>
      <c r="S316" s="118"/>
      <c r="T316" s="118"/>
      <c r="V316" s="223"/>
      <c r="X316" s="98"/>
      <c r="Z316" s="98"/>
      <c r="AA316" s="98"/>
      <c r="AB316" s="98"/>
      <c r="AC316" s="298"/>
      <c r="AD316" s="53"/>
      <c r="AE316" s="113"/>
      <c r="AF316" s="113"/>
      <c r="AG316" s="113"/>
      <c r="AH316" s="113"/>
      <c r="AI316" s="113"/>
      <c r="AM316" s="115"/>
      <c r="AO316" s="113"/>
      <c r="AP316" s="113"/>
      <c r="AQ316" s="56"/>
      <c r="AR316" s="404"/>
    </row>
    <row r="317" spans="6:44" hidden="1" x14ac:dyDescent="0.25">
      <c r="F317" s="113"/>
      <c r="G317" s="113"/>
      <c r="L317" s="117"/>
      <c r="P317" s="113"/>
      <c r="Q317" s="136"/>
      <c r="R317" s="98"/>
      <c r="S317" s="118"/>
      <c r="T317" s="118"/>
      <c r="V317" s="223"/>
      <c r="X317" s="98"/>
      <c r="Z317" s="98"/>
      <c r="AA317" s="98"/>
      <c r="AB317" s="98"/>
      <c r="AC317" s="298"/>
      <c r="AD317" s="53"/>
      <c r="AE317" s="113"/>
      <c r="AF317" s="113"/>
      <c r="AG317" s="113"/>
      <c r="AH317" s="113"/>
      <c r="AI317" s="113"/>
      <c r="AM317" s="115"/>
      <c r="AO317" s="113"/>
      <c r="AP317" s="113"/>
      <c r="AQ317" s="56"/>
      <c r="AR317" s="404"/>
    </row>
    <row r="318" spans="6:44" hidden="1" x14ac:dyDescent="0.25">
      <c r="F318" s="113"/>
      <c r="G318" s="113"/>
      <c r="L318" s="117"/>
      <c r="P318" s="113"/>
      <c r="Q318" s="136"/>
      <c r="R318" s="98"/>
      <c r="S318" s="118"/>
      <c r="T318" s="118"/>
      <c r="V318" s="223"/>
      <c r="X318" s="98"/>
      <c r="Z318" s="98"/>
      <c r="AA318" s="98"/>
      <c r="AB318" s="98"/>
      <c r="AC318" s="298"/>
      <c r="AD318" s="53"/>
      <c r="AE318" s="113"/>
      <c r="AF318" s="113"/>
      <c r="AG318" s="113"/>
      <c r="AH318" s="113"/>
      <c r="AI318" s="113"/>
      <c r="AM318" s="115"/>
      <c r="AO318" s="113"/>
      <c r="AP318" s="113"/>
      <c r="AQ318" s="56"/>
      <c r="AR318" s="404"/>
    </row>
    <row r="319" spans="6:44" hidden="1" x14ac:dyDescent="0.25">
      <c r="F319" s="113"/>
      <c r="G319" s="113"/>
      <c r="L319" s="117"/>
      <c r="P319" s="113"/>
      <c r="Q319" s="136"/>
      <c r="R319" s="98"/>
      <c r="S319" s="118"/>
      <c r="T319" s="118"/>
      <c r="V319" s="223"/>
      <c r="X319" s="98"/>
      <c r="Z319" s="98"/>
      <c r="AA319" s="98"/>
      <c r="AB319" s="98"/>
      <c r="AC319" s="298"/>
      <c r="AD319" s="53"/>
      <c r="AE319" s="113"/>
      <c r="AF319" s="113"/>
      <c r="AG319" s="113"/>
      <c r="AH319" s="113"/>
      <c r="AI319" s="113"/>
      <c r="AM319" s="115"/>
      <c r="AO319" s="113"/>
      <c r="AP319" s="113"/>
      <c r="AQ319" s="56"/>
      <c r="AR319" s="404"/>
    </row>
    <row r="320" spans="6:44" hidden="1" x14ac:dyDescent="0.25">
      <c r="F320" s="113"/>
      <c r="G320" s="113"/>
      <c r="L320" s="117"/>
      <c r="P320" s="113"/>
      <c r="Q320" s="136"/>
      <c r="R320" s="98"/>
      <c r="S320" s="118"/>
      <c r="T320" s="118"/>
      <c r="V320" s="223"/>
      <c r="X320" s="98"/>
      <c r="Z320" s="98"/>
      <c r="AA320" s="98"/>
      <c r="AB320" s="98"/>
      <c r="AC320" s="298"/>
      <c r="AD320" s="53"/>
      <c r="AE320" s="113"/>
      <c r="AF320" s="113"/>
      <c r="AG320" s="113"/>
      <c r="AH320" s="113"/>
      <c r="AI320" s="113"/>
      <c r="AM320" s="115"/>
      <c r="AO320" s="113"/>
      <c r="AP320" s="113"/>
      <c r="AQ320" s="56"/>
      <c r="AR320" s="404"/>
    </row>
    <row r="321" spans="6:44" hidden="1" x14ac:dyDescent="0.25">
      <c r="F321" s="113"/>
      <c r="G321" s="113"/>
      <c r="L321" s="117"/>
      <c r="P321" s="113"/>
      <c r="Q321" s="136"/>
      <c r="R321" s="98"/>
      <c r="S321" s="118"/>
      <c r="T321" s="118"/>
      <c r="V321" s="223"/>
      <c r="X321" s="98"/>
      <c r="Z321" s="98"/>
      <c r="AA321" s="98"/>
      <c r="AB321" s="98"/>
      <c r="AC321" s="298"/>
      <c r="AD321" s="53"/>
      <c r="AE321" s="113"/>
      <c r="AF321" s="113"/>
      <c r="AG321" s="113"/>
      <c r="AH321" s="113"/>
      <c r="AI321" s="113"/>
      <c r="AM321" s="115"/>
      <c r="AO321" s="113"/>
      <c r="AP321" s="113"/>
      <c r="AQ321" s="56"/>
      <c r="AR321" s="404"/>
    </row>
    <row r="322" spans="6:44" hidden="1" x14ac:dyDescent="0.25">
      <c r="F322" s="113"/>
      <c r="G322" s="113"/>
      <c r="L322" s="117"/>
      <c r="P322" s="113"/>
      <c r="Q322" s="136"/>
      <c r="R322" s="98"/>
      <c r="S322" s="118"/>
      <c r="T322" s="118"/>
      <c r="V322" s="223"/>
      <c r="X322" s="98"/>
      <c r="Z322" s="98"/>
      <c r="AA322" s="98"/>
      <c r="AB322" s="98"/>
      <c r="AC322" s="298"/>
      <c r="AD322" s="53"/>
      <c r="AE322" s="113"/>
      <c r="AF322" s="113"/>
      <c r="AG322" s="113"/>
      <c r="AH322" s="113"/>
      <c r="AI322" s="113"/>
      <c r="AM322" s="115"/>
      <c r="AO322" s="113"/>
      <c r="AP322" s="113"/>
      <c r="AQ322" s="56"/>
      <c r="AR322" s="404"/>
    </row>
    <row r="323" spans="6:44" hidden="1" x14ac:dyDescent="0.25">
      <c r="F323" s="113"/>
      <c r="G323" s="113"/>
      <c r="L323" s="117"/>
      <c r="P323" s="113"/>
      <c r="Q323" s="136"/>
      <c r="R323" s="98"/>
      <c r="S323" s="118"/>
      <c r="T323" s="118"/>
      <c r="V323" s="223"/>
      <c r="X323" s="98"/>
      <c r="Z323" s="98"/>
      <c r="AA323" s="98"/>
      <c r="AB323" s="98"/>
      <c r="AC323" s="298"/>
      <c r="AD323" s="53"/>
      <c r="AE323" s="113"/>
      <c r="AF323" s="113"/>
      <c r="AG323" s="113"/>
      <c r="AH323" s="113"/>
      <c r="AI323" s="113"/>
      <c r="AM323" s="115"/>
      <c r="AO323" s="113"/>
      <c r="AP323" s="113"/>
      <c r="AQ323" s="56"/>
      <c r="AR323" s="404"/>
    </row>
    <row r="324" spans="6:44" hidden="1" x14ac:dyDescent="0.25">
      <c r="F324" s="113"/>
      <c r="G324" s="113"/>
      <c r="L324" s="117"/>
      <c r="P324" s="113"/>
      <c r="Q324" s="136"/>
      <c r="R324" s="98"/>
      <c r="S324" s="118"/>
      <c r="T324" s="118"/>
      <c r="V324" s="223"/>
      <c r="X324" s="98"/>
      <c r="Z324" s="98"/>
      <c r="AA324" s="98"/>
      <c r="AB324" s="98"/>
      <c r="AC324" s="298"/>
      <c r="AD324" s="53"/>
      <c r="AE324" s="113"/>
      <c r="AF324" s="113"/>
      <c r="AG324" s="113"/>
      <c r="AH324" s="113"/>
      <c r="AI324" s="113"/>
      <c r="AM324" s="115"/>
      <c r="AO324" s="113"/>
      <c r="AP324" s="113"/>
      <c r="AQ324" s="56"/>
      <c r="AR324" s="404"/>
    </row>
    <row r="325" spans="6:44" hidden="1" x14ac:dyDescent="0.25">
      <c r="F325" s="113"/>
      <c r="G325" s="113"/>
      <c r="L325" s="117"/>
      <c r="P325" s="113"/>
      <c r="Q325" s="136"/>
      <c r="R325" s="98"/>
      <c r="S325" s="118"/>
      <c r="T325" s="118"/>
      <c r="V325" s="223"/>
      <c r="X325" s="98"/>
      <c r="Z325" s="98"/>
      <c r="AA325" s="98"/>
      <c r="AB325" s="98"/>
      <c r="AC325" s="298"/>
      <c r="AD325" s="53"/>
      <c r="AE325" s="113"/>
      <c r="AF325" s="113"/>
      <c r="AG325" s="113"/>
      <c r="AH325" s="113"/>
      <c r="AI325" s="113"/>
      <c r="AM325" s="115"/>
      <c r="AO325" s="113"/>
      <c r="AP325" s="113"/>
      <c r="AQ325" s="56"/>
      <c r="AR325" s="404"/>
    </row>
    <row r="326" spans="6:44" hidden="1" x14ac:dyDescent="0.25">
      <c r="F326" s="113"/>
      <c r="G326" s="113"/>
      <c r="L326" s="117"/>
      <c r="P326" s="113"/>
      <c r="Q326" s="136"/>
      <c r="R326" s="98"/>
      <c r="S326" s="118"/>
      <c r="T326" s="118"/>
      <c r="V326" s="223"/>
      <c r="X326" s="98"/>
      <c r="Z326" s="98"/>
      <c r="AA326" s="98"/>
      <c r="AB326" s="98"/>
      <c r="AC326" s="298"/>
      <c r="AD326" s="53"/>
      <c r="AE326" s="113"/>
      <c r="AF326" s="113"/>
      <c r="AG326" s="113"/>
      <c r="AH326" s="113"/>
      <c r="AI326" s="113"/>
      <c r="AM326" s="115"/>
      <c r="AO326" s="113"/>
      <c r="AP326" s="113"/>
      <c r="AQ326" s="56"/>
      <c r="AR326" s="404"/>
    </row>
    <row r="327" spans="6:44" hidden="1" x14ac:dyDescent="0.25">
      <c r="F327" s="113"/>
      <c r="G327" s="113"/>
      <c r="L327" s="117"/>
      <c r="P327" s="113"/>
      <c r="Q327" s="136"/>
      <c r="R327" s="98"/>
      <c r="S327" s="118"/>
      <c r="T327" s="118"/>
      <c r="V327" s="223"/>
      <c r="X327" s="98"/>
      <c r="Z327" s="98"/>
      <c r="AA327" s="98"/>
      <c r="AB327" s="98"/>
      <c r="AC327" s="298"/>
      <c r="AD327" s="53"/>
      <c r="AE327" s="113"/>
      <c r="AF327" s="113"/>
      <c r="AG327" s="113"/>
      <c r="AH327" s="113"/>
      <c r="AI327" s="113"/>
      <c r="AM327" s="115"/>
      <c r="AO327" s="113"/>
      <c r="AP327" s="113"/>
      <c r="AQ327" s="56"/>
      <c r="AR327" s="404"/>
    </row>
    <row r="328" spans="6:44" hidden="1" x14ac:dyDescent="0.25">
      <c r="F328" s="113"/>
      <c r="G328" s="113"/>
      <c r="L328" s="117"/>
      <c r="P328" s="113"/>
      <c r="Q328" s="136"/>
      <c r="R328" s="98"/>
      <c r="S328" s="118"/>
      <c r="T328" s="118"/>
      <c r="V328" s="223"/>
      <c r="X328" s="98"/>
      <c r="Z328" s="98"/>
      <c r="AA328" s="98"/>
      <c r="AB328" s="98"/>
      <c r="AC328" s="298"/>
      <c r="AD328" s="53"/>
      <c r="AE328" s="113"/>
      <c r="AF328" s="113"/>
      <c r="AG328" s="113"/>
      <c r="AH328" s="113"/>
      <c r="AI328" s="113"/>
      <c r="AM328" s="115"/>
      <c r="AO328" s="113"/>
      <c r="AP328" s="113"/>
      <c r="AQ328" s="56"/>
      <c r="AR328" s="404"/>
    </row>
    <row r="329" spans="6:44" hidden="1" x14ac:dyDescent="0.25">
      <c r="F329" s="113"/>
      <c r="G329" s="113"/>
      <c r="L329" s="117"/>
      <c r="P329" s="113"/>
      <c r="Q329" s="136"/>
      <c r="R329" s="98"/>
      <c r="S329" s="118"/>
      <c r="T329" s="118"/>
      <c r="V329" s="223"/>
      <c r="X329" s="98"/>
      <c r="Z329" s="98"/>
      <c r="AA329" s="98"/>
      <c r="AB329" s="98"/>
      <c r="AC329" s="298"/>
      <c r="AD329" s="53"/>
      <c r="AE329" s="113"/>
      <c r="AF329" s="113"/>
      <c r="AG329" s="113"/>
      <c r="AH329" s="113"/>
      <c r="AI329" s="113"/>
      <c r="AM329" s="115"/>
      <c r="AO329" s="113"/>
      <c r="AP329" s="113"/>
      <c r="AQ329" s="56"/>
      <c r="AR329" s="404"/>
    </row>
    <row r="330" spans="6:44" hidden="1" x14ac:dyDescent="0.25">
      <c r="F330" s="113"/>
      <c r="G330" s="113"/>
      <c r="L330" s="117"/>
      <c r="P330" s="113"/>
      <c r="Q330" s="136"/>
      <c r="R330" s="98"/>
      <c r="S330" s="118"/>
      <c r="T330" s="118"/>
      <c r="V330" s="223"/>
      <c r="X330" s="98"/>
      <c r="Z330" s="98"/>
      <c r="AA330" s="98"/>
      <c r="AB330" s="98"/>
      <c r="AC330" s="298"/>
      <c r="AD330" s="53"/>
      <c r="AE330" s="113"/>
      <c r="AF330" s="113"/>
      <c r="AG330" s="113"/>
      <c r="AH330" s="113"/>
      <c r="AI330" s="113"/>
      <c r="AM330" s="115"/>
      <c r="AO330" s="113"/>
      <c r="AP330" s="113"/>
      <c r="AQ330" s="56"/>
      <c r="AR330" s="404"/>
    </row>
    <row r="331" spans="6:44" hidden="1" x14ac:dyDescent="0.25">
      <c r="F331" s="113"/>
      <c r="G331" s="113"/>
      <c r="L331" s="117"/>
      <c r="P331" s="113"/>
      <c r="Q331" s="136"/>
      <c r="R331" s="98"/>
      <c r="S331" s="118"/>
      <c r="T331" s="118"/>
      <c r="V331" s="223"/>
      <c r="X331" s="98"/>
      <c r="Z331" s="98"/>
      <c r="AA331" s="98"/>
      <c r="AB331" s="98"/>
      <c r="AC331" s="298"/>
      <c r="AD331" s="53"/>
      <c r="AE331" s="113"/>
      <c r="AF331" s="113"/>
      <c r="AG331" s="113"/>
      <c r="AH331" s="113"/>
      <c r="AI331" s="113"/>
      <c r="AM331" s="115"/>
      <c r="AO331" s="113"/>
      <c r="AP331" s="113"/>
      <c r="AQ331" s="56"/>
      <c r="AR331" s="404"/>
    </row>
    <row r="332" spans="6:44" hidden="1" x14ac:dyDescent="0.25">
      <c r="F332" s="113"/>
      <c r="G332" s="113"/>
      <c r="L332" s="117"/>
      <c r="P332" s="113"/>
      <c r="Q332" s="136"/>
      <c r="R332" s="98"/>
      <c r="S332" s="118"/>
      <c r="T332" s="118"/>
      <c r="V332" s="223"/>
      <c r="X332" s="98"/>
      <c r="Z332" s="98"/>
      <c r="AA332" s="98"/>
      <c r="AB332" s="98"/>
      <c r="AC332" s="298"/>
      <c r="AD332" s="53"/>
      <c r="AE332" s="113"/>
      <c r="AF332" s="113"/>
      <c r="AG332" s="113"/>
      <c r="AH332" s="113"/>
      <c r="AI332" s="113"/>
      <c r="AM332" s="115"/>
      <c r="AO332" s="113"/>
      <c r="AP332" s="113"/>
      <c r="AQ332" s="56"/>
      <c r="AR332" s="404"/>
    </row>
    <row r="333" spans="6:44" hidden="1" x14ac:dyDescent="0.25">
      <c r="F333" s="113"/>
      <c r="G333" s="113"/>
      <c r="L333" s="117"/>
      <c r="P333" s="113"/>
      <c r="Q333" s="136"/>
      <c r="R333" s="98"/>
      <c r="S333" s="118"/>
      <c r="T333" s="118"/>
      <c r="V333" s="223"/>
      <c r="X333" s="98"/>
      <c r="Z333" s="98"/>
      <c r="AA333" s="98"/>
      <c r="AB333" s="98"/>
      <c r="AC333" s="298"/>
      <c r="AD333" s="53"/>
      <c r="AE333" s="113"/>
      <c r="AF333" s="113"/>
      <c r="AG333" s="113"/>
      <c r="AH333" s="113"/>
      <c r="AI333" s="113"/>
      <c r="AM333" s="115"/>
      <c r="AO333" s="113"/>
      <c r="AP333" s="113"/>
      <c r="AQ333" s="56"/>
      <c r="AR333" s="404"/>
    </row>
    <row r="334" spans="6:44" hidden="1" x14ac:dyDescent="0.25">
      <c r="F334" s="113"/>
      <c r="G334" s="113"/>
      <c r="L334" s="117"/>
      <c r="P334" s="113"/>
      <c r="Q334" s="136"/>
      <c r="R334" s="98"/>
      <c r="S334" s="118"/>
      <c r="T334" s="118"/>
      <c r="V334" s="223"/>
      <c r="X334" s="98"/>
      <c r="Z334" s="98"/>
      <c r="AA334" s="98"/>
      <c r="AB334" s="98"/>
      <c r="AC334" s="298"/>
      <c r="AD334" s="53"/>
      <c r="AE334" s="113"/>
      <c r="AF334" s="113"/>
      <c r="AG334" s="113"/>
      <c r="AH334" s="113"/>
      <c r="AI334" s="113"/>
      <c r="AM334" s="115"/>
      <c r="AO334" s="113"/>
      <c r="AP334" s="113"/>
      <c r="AQ334" s="56"/>
      <c r="AR334" s="404"/>
    </row>
    <row r="335" spans="6:44" hidden="1" x14ac:dyDescent="0.25">
      <c r="F335" s="113"/>
      <c r="G335" s="113"/>
      <c r="L335" s="117"/>
      <c r="P335" s="113"/>
      <c r="Q335" s="136"/>
      <c r="R335" s="98"/>
      <c r="S335" s="118"/>
      <c r="T335" s="118"/>
      <c r="V335" s="223"/>
      <c r="X335" s="98"/>
      <c r="Z335" s="98"/>
      <c r="AA335" s="98"/>
      <c r="AB335" s="98"/>
      <c r="AC335" s="298"/>
      <c r="AD335" s="53"/>
      <c r="AE335" s="113"/>
      <c r="AF335" s="113"/>
      <c r="AG335" s="113"/>
      <c r="AH335" s="113"/>
      <c r="AI335" s="113"/>
      <c r="AM335" s="115"/>
      <c r="AO335" s="113"/>
      <c r="AP335" s="113"/>
      <c r="AQ335" s="56"/>
      <c r="AR335" s="404"/>
    </row>
    <row r="336" spans="6:44" hidden="1" x14ac:dyDescent="0.25">
      <c r="F336" s="113"/>
      <c r="G336" s="113"/>
      <c r="L336" s="117"/>
      <c r="P336" s="113"/>
      <c r="Q336" s="136"/>
      <c r="R336" s="98"/>
      <c r="S336" s="118"/>
      <c r="T336" s="118"/>
      <c r="V336" s="223"/>
      <c r="X336" s="98"/>
      <c r="Z336" s="98"/>
      <c r="AA336" s="98"/>
      <c r="AB336" s="98"/>
      <c r="AC336" s="298"/>
      <c r="AD336" s="53"/>
      <c r="AE336" s="113"/>
      <c r="AF336" s="113"/>
      <c r="AG336" s="113"/>
      <c r="AH336" s="113"/>
      <c r="AI336" s="113"/>
      <c r="AM336" s="115"/>
      <c r="AO336" s="113"/>
      <c r="AP336" s="113"/>
      <c r="AQ336" s="56"/>
      <c r="AR336" s="404"/>
    </row>
    <row r="337" spans="6:44" hidden="1" x14ac:dyDescent="0.25">
      <c r="F337" s="113"/>
      <c r="G337" s="113"/>
      <c r="L337" s="117"/>
      <c r="P337" s="113"/>
      <c r="Q337" s="136"/>
      <c r="R337" s="98"/>
      <c r="S337" s="118"/>
      <c r="T337" s="118"/>
      <c r="V337" s="223"/>
      <c r="X337" s="98"/>
      <c r="Z337" s="98"/>
      <c r="AA337" s="98"/>
      <c r="AB337" s="98"/>
      <c r="AC337" s="298"/>
      <c r="AD337" s="53"/>
      <c r="AE337" s="113"/>
      <c r="AF337" s="113"/>
      <c r="AG337" s="113"/>
      <c r="AH337" s="113"/>
      <c r="AI337" s="113"/>
      <c r="AM337" s="115"/>
      <c r="AO337" s="113"/>
      <c r="AP337" s="113"/>
      <c r="AQ337" s="56"/>
      <c r="AR337" s="404"/>
    </row>
    <row r="338" spans="6:44" hidden="1" x14ac:dyDescent="0.25">
      <c r="F338" s="113"/>
      <c r="G338" s="113"/>
      <c r="L338" s="117"/>
      <c r="P338" s="113"/>
      <c r="Q338" s="136"/>
      <c r="R338" s="98"/>
      <c r="S338" s="118"/>
      <c r="T338" s="118"/>
      <c r="V338" s="223"/>
      <c r="X338" s="98"/>
      <c r="Z338" s="98"/>
      <c r="AA338" s="98"/>
      <c r="AB338" s="98"/>
      <c r="AC338" s="298"/>
      <c r="AD338" s="53"/>
      <c r="AE338" s="113"/>
      <c r="AF338" s="113"/>
      <c r="AG338" s="113"/>
      <c r="AH338" s="113"/>
      <c r="AI338" s="113"/>
      <c r="AM338" s="115"/>
      <c r="AO338" s="113"/>
      <c r="AP338" s="113"/>
      <c r="AQ338" s="56"/>
      <c r="AR338" s="404"/>
    </row>
    <row r="339" spans="6:44" hidden="1" x14ac:dyDescent="0.25">
      <c r="F339" s="113"/>
      <c r="G339" s="113"/>
      <c r="L339" s="117"/>
      <c r="P339" s="113"/>
      <c r="Q339" s="136"/>
      <c r="R339" s="98"/>
      <c r="S339" s="118"/>
      <c r="T339" s="118"/>
      <c r="V339" s="223"/>
      <c r="X339" s="98"/>
      <c r="Z339" s="98"/>
      <c r="AA339" s="98"/>
      <c r="AB339" s="98"/>
      <c r="AC339" s="298"/>
      <c r="AD339" s="53"/>
      <c r="AE339" s="113"/>
      <c r="AF339" s="113"/>
      <c r="AG339" s="113"/>
      <c r="AH339" s="113"/>
      <c r="AI339" s="113"/>
      <c r="AM339" s="115"/>
      <c r="AO339" s="113"/>
      <c r="AP339" s="113"/>
      <c r="AQ339" s="56"/>
      <c r="AR339" s="404"/>
    </row>
    <row r="340" spans="6:44" hidden="1" x14ac:dyDescent="0.25">
      <c r="F340" s="113"/>
      <c r="G340" s="113"/>
      <c r="L340" s="117"/>
      <c r="P340" s="113"/>
      <c r="Q340" s="136"/>
      <c r="R340" s="98"/>
      <c r="S340" s="118"/>
      <c r="T340" s="118"/>
      <c r="V340" s="223"/>
      <c r="X340" s="98"/>
      <c r="Z340" s="98"/>
      <c r="AA340" s="98"/>
      <c r="AB340" s="98"/>
      <c r="AC340" s="298"/>
      <c r="AD340" s="53"/>
      <c r="AE340" s="113"/>
      <c r="AF340" s="113"/>
      <c r="AG340" s="113"/>
      <c r="AH340" s="113"/>
      <c r="AI340" s="113"/>
      <c r="AM340" s="115"/>
      <c r="AO340" s="113"/>
      <c r="AP340" s="113"/>
      <c r="AQ340" s="56"/>
      <c r="AR340" s="404"/>
    </row>
    <row r="341" spans="6:44" hidden="1" x14ac:dyDescent="0.25">
      <c r="F341" s="113"/>
      <c r="G341" s="113"/>
      <c r="L341" s="117"/>
      <c r="P341" s="113"/>
      <c r="Q341" s="136"/>
      <c r="R341" s="98"/>
      <c r="S341" s="118"/>
      <c r="T341" s="118"/>
      <c r="V341" s="223"/>
      <c r="X341" s="98"/>
      <c r="Z341" s="98"/>
      <c r="AA341" s="98"/>
      <c r="AB341" s="98"/>
      <c r="AC341" s="298"/>
      <c r="AD341" s="53"/>
      <c r="AE341" s="113"/>
      <c r="AF341" s="113"/>
      <c r="AG341" s="113"/>
      <c r="AH341" s="113"/>
      <c r="AI341" s="113"/>
      <c r="AM341" s="115"/>
      <c r="AO341" s="113"/>
      <c r="AP341" s="113"/>
      <c r="AQ341" s="56"/>
      <c r="AR341" s="404"/>
    </row>
    <row r="342" spans="6:44" hidden="1" x14ac:dyDescent="0.25">
      <c r="F342" s="113"/>
      <c r="G342" s="113"/>
      <c r="L342" s="117"/>
      <c r="P342" s="113"/>
      <c r="Q342" s="136"/>
      <c r="R342" s="98"/>
      <c r="S342" s="118"/>
      <c r="T342" s="118"/>
      <c r="V342" s="223"/>
      <c r="X342" s="98"/>
      <c r="Z342" s="98"/>
      <c r="AA342" s="98"/>
      <c r="AB342" s="98"/>
      <c r="AC342" s="298"/>
      <c r="AD342" s="53"/>
      <c r="AE342" s="113"/>
      <c r="AF342" s="113"/>
      <c r="AG342" s="113"/>
      <c r="AH342" s="113"/>
      <c r="AI342" s="113"/>
      <c r="AM342" s="115"/>
      <c r="AO342" s="113"/>
      <c r="AP342" s="113"/>
      <c r="AQ342" s="56"/>
      <c r="AR342" s="404"/>
    </row>
    <row r="343" spans="6:44" hidden="1" x14ac:dyDescent="0.25">
      <c r="F343" s="113"/>
      <c r="G343" s="113"/>
      <c r="L343" s="117"/>
      <c r="P343" s="113"/>
      <c r="Q343" s="136"/>
      <c r="R343" s="98"/>
      <c r="S343" s="118"/>
      <c r="T343" s="118"/>
      <c r="V343" s="223"/>
      <c r="X343" s="98"/>
      <c r="Z343" s="98"/>
      <c r="AA343" s="98"/>
      <c r="AB343" s="98"/>
      <c r="AC343" s="298"/>
      <c r="AD343" s="53"/>
      <c r="AE343" s="113"/>
      <c r="AF343" s="113"/>
      <c r="AG343" s="113"/>
      <c r="AH343" s="113"/>
      <c r="AI343" s="113"/>
      <c r="AM343" s="115"/>
      <c r="AO343" s="113"/>
      <c r="AP343" s="113"/>
      <c r="AQ343" s="56"/>
      <c r="AR343" s="404"/>
    </row>
    <row r="344" spans="6:44" hidden="1" x14ac:dyDescent="0.25">
      <c r="F344" s="113"/>
      <c r="G344" s="113"/>
      <c r="L344" s="117"/>
      <c r="P344" s="113"/>
      <c r="Q344" s="136"/>
      <c r="R344" s="98"/>
      <c r="S344" s="118"/>
      <c r="T344" s="118"/>
      <c r="V344" s="223"/>
      <c r="X344" s="98"/>
      <c r="Z344" s="98"/>
      <c r="AA344" s="98"/>
      <c r="AB344" s="98"/>
      <c r="AC344" s="298"/>
      <c r="AD344" s="53"/>
      <c r="AE344" s="113"/>
      <c r="AF344" s="113"/>
      <c r="AG344" s="113"/>
      <c r="AH344" s="113"/>
      <c r="AI344" s="113"/>
      <c r="AM344" s="115"/>
      <c r="AO344" s="113"/>
      <c r="AP344" s="113"/>
      <c r="AQ344" s="56"/>
      <c r="AR344" s="404"/>
    </row>
    <row r="345" spans="6:44" hidden="1" x14ac:dyDescent="0.25">
      <c r="F345" s="113"/>
      <c r="G345" s="113"/>
      <c r="L345" s="117"/>
      <c r="P345" s="113"/>
      <c r="Q345" s="136"/>
      <c r="R345" s="98"/>
      <c r="S345" s="118"/>
      <c r="T345" s="118"/>
      <c r="V345" s="223"/>
      <c r="X345" s="98"/>
      <c r="Z345" s="98"/>
      <c r="AA345" s="98"/>
      <c r="AB345" s="98"/>
      <c r="AC345" s="298"/>
      <c r="AD345" s="53"/>
      <c r="AE345" s="113"/>
      <c r="AF345" s="113"/>
      <c r="AG345" s="113"/>
      <c r="AH345" s="113"/>
      <c r="AI345" s="113"/>
      <c r="AM345" s="115"/>
      <c r="AO345" s="113"/>
      <c r="AP345" s="113"/>
      <c r="AQ345" s="56"/>
      <c r="AR345" s="404"/>
    </row>
    <row r="346" spans="6:44" hidden="1" x14ac:dyDescent="0.25">
      <c r="F346" s="113"/>
      <c r="G346" s="113"/>
      <c r="L346" s="117"/>
      <c r="P346" s="113"/>
      <c r="Q346" s="136"/>
      <c r="R346" s="98"/>
      <c r="S346" s="118"/>
      <c r="T346" s="118"/>
      <c r="V346" s="223"/>
      <c r="X346" s="98"/>
      <c r="Z346" s="98"/>
      <c r="AA346" s="98"/>
      <c r="AB346" s="98"/>
      <c r="AC346" s="298"/>
      <c r="AD346" s="53"/>
      <c r="AE346" s="113"/>
      <c r="AF346" s="113"/>
      <c r="AG346" s="113"/>
      <c r="AH346" s="113"/>
      <c r="AI346" s="113"/>
      <c r="AM346" s="115"/>
      <c r="AO346" s="113"/>
      <c r="AP346" s="113"/>
      <c r="AQ346" s="56"/>
      <c r="AR346" s="404"/>
    </row>
    <row r="347" spans="6:44" hidden="1" x14ac:dyDescent="0.25">
      <c r="F347" s="113"/>
      <c r="G347" s="113"/>
      <c r="L347" s="117"/>
      <c r="P347" s="113"/>
      <c r="Q347" s="136"/>
      <c r="R347" s="98"/>
      <c r="S347" s="118"/>
      <c r="T347" s="118"/>
      <c r="V347" s="223"/>
      <c r="X347" s="98"/>
      <c r="Z347" s="98"/>
      <c r="AA347" s="98"/>
      <c r="AB347" s="98"/>
      <c r="AC347" s="298"/>
      <c r="AD347" s="53"/>
      <c r="AE347" s="113"/>
      <c r="AF347" s="113"/>
      <c r="AG347" s="113"/>
      <c r="AH347" s="113"/>
      <c r="AI347" s="113"/>
      <c r="AM347" s="115"/>
      <c r="AO347" s="113"/>
      <c r="AP347" s="113"/>
      <c r="AQ347" s="56"/>
      <c r="AR347" s="404"/>
    </row>
    <row r="348" spans="6:44" hidden="1" x14ac:dyDescent="0.25">
      <c r="F348" s="113"/>
      <c r="G348" s="113"/>
      <c r="L348" s="117"/>
      <c r="P348" s="113"/>
      <c r="Q348" s="136"/>
      <c r="R348" s="98"/>
      <c r="S348" s="118"/>
      <c r="T348" s="118"/>
      <c r="V348" s="223"/>
      <c r="X348" s="98"/>
      <c r="Z348" s="98"/>
      <c r="AA348" s="98"/>
      <c r="AB348" s="98"/>
      <c r="AC348" s="298"/>
      <c r="AD348" s="53"/>
      <c r="AE348" s="113"/>
      <c r="AF348" s="113"/>
      <c r="AG348" s="113"/>
      <c r="AH348" s="113"/>
      <c r="AI348" s="113"/>
      <c r="AM348" s="115"/>
      <c r="AO348" s="113"/>
      <c r="AP348" s="113"/>
      <c r="AQ348" s="56"/>
      <c r="AR348" s="404"/>
    </row>
    <row r="349" spans="6:44" hidden="1" x14ac:dyDescent="0.25">
      <c r="F349" s="113"/>
      <c r="G349" s="113"/>
      <c r="L349" s="117"/>
      <c r="P349" s="113"/>
      <c r="Q349" s="136"/>
      <c r="R349" s="98"/>
      <c r="S349" s="118"/>
      <c r="T349" s="118"/>
      <c r="V349" s="223"/>
      <c r="X349" s="98"/>
      <c r="Z349" s="98"/>
      <c r="AA349" s="98"/>
      <c r="AB349" s="98"/>
      <c r="AC349" s="298"/>
      <c r="AD349" s="53"/>
      <c r="AE349" s="113"/>
      <c r="AF349" s="113"/>
      <c r="AG349" s="113"/>
      <c r="AH349" s="113"/>
      <c r="AI349" s="113"/>
      <c r="AM349" s="115"/>
      <c r="AO349" s="113"/>
      <c r="AP349" s="113"/>
      <c r="AQ349" s="56"/>
      <c r="AR349" s="404"/>
    </row>
    <row r="350" spans="6:44" hidden="1" x14ac:dyDescent="0.25">
      <c r="F350" s="113"/>
      <c r="G350" s="113"/>
      <c r="L350" s="117"/>
      <c r="P350" s="113"/>
      <c r="Q350" s="136"/>
      <c r="R350" s="98"/>
      <c r="S350" s="118"/>
      <c r="T350" s="118"/>
      <c r="V350" s="223"/>
      <c r="X350" s="98"/>
      <c r="Z350" s="98"/>
      <c r="AA350" s="98"/>
      <c r="AB350" s="98"/>
      <c r="AC350" s="298"/>
      <c r="AD350" s="53"/>
      <c r="AE350" s="113"/>
      <c r="AF350" s="113"/>
      <c r="AG350" s="113"/>
      <c r="AH350" s="113"/>
      <c r="AI350" s="113"/>
      <c r="AM350" s="115"/>
      <c r="AO350" s="113"/>
      <c r="AP350" s="113"/>
      <c r="AQ350" s="56"/>
      <c r="AR350" s="404"/>
    </row>
    <row r="351" spans="6:44" hidden="1" x14ac:dyDescent="0.25">
      <c r="F351" s="113"/>
      <c r="G351" s="113"/>
      <c r="L351" s="117"/>
      <c r="P351" s="113"/>
      <c r="Q351" s="136"/>
      <c r="R351" s="98"/>
      <c r="S351" s="118"/>
      <c r="T351" s="118"/>
      <c r="V351" s="223"/>
      <c r="X351" s="98"/>
      <c r="Z351" s="98"/>
      <c r="AA351" s="98"/>
      <c r="AB351" s="98"/>
      <c r="AC351" s="298"/>
      <c r="AD351" s="53"/>
      <c r="AE351" s="113"/>
      <c r="AF351" s="113"/>
      <c r="AG351" s="113"/>
      <c r="AH351" s="113"/>
      <c r="AI351" s="113"/>
      <c r="AM351" s="115"/>
      <c r="AO351" s="113"/>
      <c r="AP351" s="113"/>
      <c r="AQ351" s="56"/>
      <c r="AR351" s="404"/>
    </row>
    <row r="352" spans="6:44" hidden="1" x14ac:dyDescent="0.25">
      <c r="F352" s="113"/>
      <c r="G352" s="113"/>
      <c r="L352" s="117"/>
      <c r="P352" s="113"/>
      <c r="Q352" s="136"/>
      <c r="R352" s="98"/>
      <c r="S352" s="118"/>
      <c r="T352" s="118"/>
      <c r="V352" s="223"/>
      <c r="X352" s="98"/>
      <c r="Z352" s="98"/>
      <c r="AA352" s="98"/>
      <c r="AB352" s="98"/>
      <c r="AC352" s="298"/>
      <c r="AD352" s="53"/>
      <c r="AE352" s="113"/>
      <c r="AF352" s="113"/>
      <c r="AG352" s="113"/>
      <c r="AH352" s="113"/>
      <c r="AI352" s="113"/>
      <c r="AM352" s="115"/>
      <c r="AO352" s="113"/>
      <c r="AP352" s="113"/>
      <c r="AQ352" s="56"/>
      <c r="AR352" s="404"/>
    </row>
    <row r="353" spans="6:44" hidden="1" x14ac:dyDescent="0.25">
      <c r="F353" s="113"/>
      <c r="G353" s="113"/>
      <c r="L353" s="117"/>
      <c r="P353" s="113"/>
      <c r="Q353" s="136"/>
      <c r="R353" s="98"/>
      <c r="S353" s="118"/>
      <c r="T353" s="118"/>
      <c r="V353" s="223"/>
      <c r="X353" s="98"/>
      <c r="Z353" s="98"/>
      <c r="AA353" s="98"/>
      <c r="AB353" s="98"/>
      <c r="AC353" s="298"/>
      <c r="AD353" s="53"/>
      <c r="AE353" s="113"/>
      <c r="AF353" s="113"/>
      <c r="AG353" s="113"/>
      <c r="AH353" s="113"/>
      <c r="AI353" s="113"/>
      <c r="AM353" s="115"/>
      <c r="AO353" s="113"/>
      <c r="AP353" s="113"/>
      <c r="AQ353" s="56"/>
      <c r="AR353" s="404"/>
    </row>
    <row r="354" spans="6:44" hidden="1" x14ac:dyDescent="0.25">
      <c r="F354" s="113"/>
      <c r="G354" s="113"/>
      <c r="L354" s="117"/>
      <c r="P354" s="113"/>
      <c r="Q354" s="136"/>
      <c r="R354" s="98"/>
      <c r="S354" s="118"/>
      <c r="T354" s="118"/>
      <c r="V354" s="223"/>
      <c r="X354" s="98"/>
      <c r="Z354" s="98"/>
      <c r="AA354" s="98"/>
      <c r="AB354" s="98"/>
      <c r="AC354" s="298"/>
      <c r="AD354" s="53"/>
      <c r="AE354" s="113"/>
      <c r="AF354" s="113"/>
      <c r="AG354" s="113"/>
      <c r="AH354" s="113"/>
      <c r="AI354" s="113"/>
      <c r="AM354" s="115"/>
      <c r="AO354" s="113"/>
      <c r="AP354" s="113"/>
      <c r="AQ354" s="56"/>
      <c r="AR354" s="404"/>
    </row>
    <row r="355" spans="6:44" hidden="1" x14ac:dyDescent="0.25">
      <c r="F355" s="113"/>
      <c r="G355" s="113"/>
      <c r="L355" s="117"/>
      <c r="P355" s="113"/>
      <c r="Q355" s="136"/>
      <c r="R355" s="98"/>
      <c r="S355" s="118"/>
      <c r="T355" s="118"/>
      <c r="V355" s="223"/>
      <c r="X355" s="98"/>
      <c r="Z355" s="98"/>
      <c r="AA355" s="98"/>
      <c r="AB355" s="98"/>
      <c r="AC355" s="298"/>
      <c r="AD355" s="53"/>
      <c r="AE355" s="113"/>
      <c r="AF355" s="113"/>
      <c r="AG355" s="113"/>
      <c r="AH355" s="113"/>
      <c r="AI355" s="113"/>
      <c r="AM355" s="115"/>
      <c r="AO355" s="113"/>
      <c r="AP355" s="113"/>
      <c r="AQ355" s="56"/>
      <c r="AR355" s="404"/>
    </row>
    <row r="356" spans="6:44" hidden="1" x14ac:dyDescent="0.25">
      <c r="F356" s="113"/>
      <c r="G356" s="113"/>
      <c r="L356" s="117"/>
      <c r="P356" s="113"/>
      <c r="Q356" s="136"/>
      <c r="R356" s="98"/>
      <c r="S356" s="118"/>
      <c r="T356" s="118"/>
      <c r="V356" s="223"/>
      <c r="X356" s="98"/>
      <c r="Z356" s="98"/>
      <c r="AA356" s="98"/>
      <c r="AB356" s="98"/>
      <c r="AC356" s="298"/>
      <c r="AD356" s="53"/>
      <c r="AE356" s="113"/>
      <c r="AF356" s="113"/>
      <c r="AG356" s="113"/>
      <c r="AH356" s="113"/>
      <c r="AI356" s="113"/>
      <c r="AM356" s="115"/>
      <c r="AO356" s="113"/>
      <c r="AP356" s="113"/>
      <c r="AQ356" s="56"/>
      <c r="AR356" s="404"/>
    </row>
    <row r="357" spans="6:44" hidden="1" x14ac:dyDescent="0.25">
      <c r="F357" s="113"/>
      <c r="G357" s="113"/>
      <c r="L357" s="117"/>
      <c r="P357" s="113"/>
      <c r="Q357" s="136"/>
      <c r="R357" s="98"/>
      <c r="S357" s="118"/>
      <c r="T357" s="118"/>
      <c r="V357" s="223"/>
      <c r="X357" s="98"/>
      <c r="Z357" s="98"/>
      <c r="AA357" s="98"/>
      <c r="AB357" s="98"/>
      <c r="AC357" s="298"/>
      <c r="AD357" s="53"/>
      <c r="AE357" s="113"/>
      <c r="AF357" s="113"/>
      <c r="AG357" s="113"/>
      <c r="AH357" s="113"/>
      <c r="AI357" s="113"/>
      <c r="AM357" s="115"/>
      <c r="AO357" s="113"/>
      <c r="AP357" s="113"/>
      <c r="AQ357" s="56"/>
      <c r="AR357" s="404"/>
    </row>
    <row r="358" spans="6:44" hidden="1" x14ac:dyDescent="0.25">
      <c r="F358" s="113"/>
      <c r="G358" s="113"/>
      <c r="L358" s="117"/>
      <c r="P358" s="113"/>
      <c r="Q358" s="136"/>
      <c r="R358" s="98"/>
      <c r="S358" s="118"/>
      <c r="T358" s="118"/>
      <c r="V358" s="223"/>
      <c r="X358" s="98"/>
      <c r="Z358" s="98"/>
      <c r="AA358" s="98"/>
      <c r="AB358" s="98"/>
      <c r="AC358" s="298"/>
      <c r="AD358" s="53"/>
      <c r="AE358" s="113"/>
      <c r="AF358" s="113"/>
      <c r="AG358" s="113"/>
      <c r="AH358" s="113"/>
      <c r="AI358" s="113"/>
      <c r="AM358" s="115"/>
      <c r="AO358" s="113"/>
      <c r="AP358" s="113"/>
      <c r="AQ358" s="56"/>
      <c r="AR358" s="404"/>
    </row>
    <row r="359" spans="6:44" hidden="1" x14ac:dyDescent="0.25">
      <c r="F359" s="113"/>
      <c r="G359" s="113"/>
      <c r="L359" s="117"/>
      <c r="P359" s="113"/>
      <c r="Q359" s="136"/>
      <c r="R359" s="98"/>
      <c r="S359" s="118"/>
      <c r="T359" s="118"/>
      <c r="V359" s="223"/>
      <c r="X359" s="98"/>
      <c r="Z359" s="98"/>
      <c r="AA359" s="98"/>
      <c r="AB359" s="98"/>
      <c r="AC359" s="298"/>
      <c r="AD359" s="53"/>
      <c r="AE359" s="113"/>
      <c r="AF359" s="113"/>
      <c r="AG359" s="113"/>
      <c r="AH359" s="113"/>
      <c r="AI359" s="113"/>
      <c r="AM359" s="115"/>
      <c r="AO359" s="113"/>
      <c r="AP359" s="113"/>
      <c r="AQ359" s="56"/>
      <c r="AR359" s="404"/>
    </row>
    <row r="360" spans="6:44" hidden="1" x14ac:dyDescent="0.25">
      <c r="F360" s="113"/>
      <c r="G360" s="113"/>
      <c r="L360" s="117"/>
      <c r="P360" s="113"/>
      <c r="Q360" s="136"/>
      <c r="R360" s="98"/>
      <c r="S360" s="118"/>
      <c r="T360" s="118"/>
      <c r="V360" s="223"/>
      <c r="X360" s="98"/>
      <c r="Z360" s="98"/>
      <c r="AA360" s="98"/>
      <c r="AB360" s="98"/>
      <c r="AC360" s="298"/>
      <c r="AD360" s="53"/>
      <c r="AE360" s="113"/>
      <c r="AF360" s="113"/>
      <c r="AG360" s="113"/>
      <c r="AH360" s="113"/>
      <c r="AI360" s="113"/>
      <c r="AM360" s="115"/>
      <c r="AO360" s="113"/>
      <c r="AP360" s="113"/>
      <c r="AQ360" s="56"/>
      <c r="AR360" s="404"/>
    </row>
    <row r="361" spans="6:44" hidden="1" x14ac:dyDescent="0.25">
      <c r="F361" s="113"/>
      <c r="G361" s="113"/>
      <c r="L361" s="117"/>
      <c r="P361" s="113"/>
      <c r="Q361" s="136"/>
      <c r="R361" s="98"/>
      <c r="S361" s="118"/>
      <c r="T361" s="118"/>
      <c r="V361" s="223"/>
      <c r="X361" s="98"/>
      <c r="Z361" s="98"/>
      <c r="AA361" s="98"/>
      <c r="AB361" s="98"/>
      <c r="AC361" s="298"/>
      <c r="AD361" s="53"/>
      <c r="AE361" s="113"/>
      <c r="AF361" s="113"/>
      <c r="AG361" s="113"/>
      <c r="AH361" s="113"/>
      <c r="AI361" s="113"/>
      <c r="AM361" s="115"/>
      <c r="AO361" s="113"/>
      <c r="AP361" s="113"/>
      <c r="AQ361" s="56"/>
      <c r="AR361" s="404"/>
    </row>
    <row r="362" spans="6:44" hidden="1" x14ac:dyDescent="0.25">
      <c r="F362" s="113"/>
      <c r="G362" s="113"/>
      <c r="L362" s="117"/>
      <c r="P362" s="113"/>
      <c r="Q362" s="136"/>
      <c r="R362" s="98"/>
      <c r="S362" s="118"/>
      <c r="T362" s="118"/>
      <c r="V362" s="223"/>
      <c r="X362" s="98"/>
      <c r="Z362" s="98"/>
      <c r="AA362" s="98"/>
      <c r="AB362" s="98"/>
      <c r="AC362" s="298"/>
      <c r="AD362" s="53"/>
      <c r="AE362" s="113"/>
      <c r="AF362" s="113"/>
      <c r="AG362" s="113"/>
      <c r="AH362" s="113"/>
      <c r="AI362" s="113"/>
      <c r="AM362" s="115"/>
      <c r="AO362" s="113"/>
      <c r="AP362" s="113"/>
      <c r="AQ362" s="56"/>
      <c r="AR362" s="404"/>
    </row>
    <row r="363" spans="6:44" hidden="1" x14ac:dyDescent="0.25">
      <c r="F363" s="113"/>
      <c r="G363" s="113"/>
      <c r="L363" s="117"/>
      <c r="P363" s="113"/>
      <c r="Q363" s="136"/>
      <c r="R363" s="98"/>
      <c r="S363" s="118"/>
      <c r="T363" s="118"/>
      <c r="V363" s="223"/>
      <c r="X363" s="98"/>
      <c r="Z363" s="98"/>
      <c r="AA363" s="98"/>
      <c r="AB363" s="98"/>
      <c r="AC363" s="298"/>
      <c r="AD363" s="53"/>
      <c r="AE363" s="113"/>
      <c r="AF363" s="113"/>
      <c r="AG363" s="113"/>
      <c r="AH363" s="113"/>
      <c r="AI363" s="113"/>
      <c r="AM363" s="115"/>
      <c r="AO363" s="113"/>
      <c r="AP363" s="113"/>
      <c r="AQ363" s="56"/>
      <c r="AR363" s="404"/>
    </row>
    <row r="364" spans="6:44" hidden="1" x14ac:dyDescent="0.25">
      <c r="F364" s="113"/>
      <c r="G364" s="113"/>
      <c r="L364" s="117"/>
      <c r="P364" s="113"/>
      <c r="Q364" s="136"/>
      <c r="R364" s="98"/>
      <c r="S364" s="118"/>
      <c r="T364" s="118"/>
      <c r="V364" s="223"/>
      <c r="X364" s="98"/>
      <c r="Z364" s="98"/>
      <c r="AA364" s="98"/>
      <c r="AB364" s="98"/>
      <c r="AC364" s="298"/>
      <c r="AD364" s="53"/>
      <c r="AE364" s="113"/>
      <c r="AF364" s="113"/>
      <c r="AG364" s="113"/>
      <c r="AH364" s="113"/>
      <c r="AI364" s="113"/>
      <c r="AM364" s="115"/>
      <c r="AO364" s="113"/>
      <c r="AP364" s="113"/>
      <c r="AQ364" s="56"/>
      <c r="AR364" s="404"/>
    </row>
    <row r="365" spans="6:44" hidden="1" x14ac:dyDescent="0.25">
      <c r="F365" s="113"/>
      <c r="G365" s="113"/>
      <c r="L365" s="117"/>
      <c r="P365" s="113"/>
      <c r="Q365" s="136"/>
      <c r="R365" s="98"/>
      <c r="S365" s="118"/>
      <c r="T365" s="118"/>
      <c r="V365" s="223"/>
      <c r="X365" s="98"/>
      <c r="Z365" s="98"/>
      <c r="AA365" s="98"/>
      <c r="AB365" s="98"/>
      <c r="AC365" s="298"/>
      <c r="AD365" s="53"/>
      <c r="AE365" s="113"/>
      <c r="AF365" s="113"/>
      <c r="AG365" s="113"/>
      <c r="AH365" s="113"/>
      <c r="AI365" s="113"/>
      <c r="AM365" s="115"/>
      <c r="AO365" s="113"/>
      <c r="AP365" s="113"/>
      <c r="AQ365" s="56"/>
      <c r="AR365" s="404"/>
    </row>
    <row r="366" spans="6:44" hidden="1" x14ac:dyDescent="0.25">
      <c r="F366" s="113"/>
      <c r="G366" s="113"/>
      <c r="L366" s="117"/>
      <c r="P366" s="113"/>
      <c r="Q366" s="136"/>
      <c r="R366" s="98"/>
      <c r="S366" s="118"/>
      <c r="T366" s="118"/>
      <c r="V366" s="223"/>
      <c r="X366" s="98"/>
      <c r="Z366" s="98"/>
      <c r="AA366" s="98"/>
      <c r="AB366" s="98"/>
      <c r="AC366" s="298"/>
      <c r="AD366" s="53"/>
      <c r="AE366" s="113"/>
      <c r="AF366" s="113"/>
      <c r="AG366" s="113"/>
      <c r="AH366" s="113"/>
      <c r="AI366" s="113"/>
      <c r="AM366" s="115"/>
      <c r="AO366" s="113"/>
      <c r="AP366" s="113"/>
      <c r="AQ366" s="56"/>
      <c r="AR366" s="404"/>
    </row>
    <row r="367" spans="6:44" hidden="1" x14ac:dyDescent="0.25">
      <c r="F367" s="113"/>
      <c r="G367" s="113"/>
      <c r="L367" s="117"/>
      <c r="P367" s="113"/>
      <c r="Q367" s="136"/>
      <c r="R367" s="98"/>
      <c r="S367" s="118"/>
      <c r="T367" s="118"/>
      <c r="V367" s="223"/>
      <c r="X367" s="98"/>
      <c r="Z367" s="98"/>
      <c r="AA367" s="98"/>
      <c r="AB367" s="98"/>
      <c r="AC367" s="298"/>
      <c r="AD367" s="53"/>
      <c r="AE367" s="113"/>
      <c r="AF367" s="113"/>
      <c r="AG367" s="113"/>
      <c r="AH367" s="113"/>
      <c r="AI367" s="113"/>
      <c r="AM367" s="115"/>
      <c r="AO367" s="113"/>
      <c r="AP367" s="113"/>
      <c r="AQ367" s="56"/>
      <c r="AR367" s="404"/>
    </row>
    <row r="368" spans="6:44" hidden="1" x14ac:dyDescent="0.25">
      <c r="F368" s="113"/>
      <c r="G368" s="113"/>
      <c r="L368" s="117"/>
      <c r="P368" s="113"/>
      <c r="Q368" s="136"/>
      <c r="R368" s="98"/>
      <c r="S368" s="118"/>
      <c r="T368" s="118"/>
      <c r="V368" s="223"/>
      <c r="X368" s="98"/>
      <c r="Z368" s="98"/>
      <c r="AA368" s="98"/>
      <c r="AB368" s="98"/>
      <c r="AC368" s="298"/>
      <c r="AD368" s="53"/>
      <c r="AE368" s="113"/>
      <c r="AF368" s="113"/>
      <c r="AG368" s="113"/>
      <c r="AH368" s="113"/>
      <c r="AI368" s="113"/>
      <c r="AM368" s="115"/>
      <c r="AO368" s="113"/>
      <c r="AP368" s="113"/>
      <c r="AQ368" s="56"/>
      <c r="AR368" s="404"/>
    </row>
    <row r="369" spans="6:44" hidden="1" x14ac:dyDescent="0.25">
      <c r="F369" s="113"/>
      <c r="G369" s="113"/>
      <c r="L369" s="117"/>
      <c r="P369" s="113"/>
      <c r="Q369" s="136"/>
      <c r="R369" s="98"/>
      <c r="S369" s="118"/>
      <c r="T369" s="118"/>
      <c r="V369" s="223"/>
      <c r="X369" s="98"/>
      <c r="Z369" s="98"/>
      <c r="AA369" s="98"/>
      <c r="AB369" s="98"/>
      <c r="AC369" s="298"/>
      <c r="AD369" s="53"/>
      <c r="AE369" s="113"/>
      <c r="AF369" s="113"/>
      <c r="AG369" s="113"/>
      <c r="AH369" s="113"/>
      <c r="AI369" s="113"/>
      <c r="AM369" s="115"/>
      <c r="AO369" s="113"/>
      <c r="AP369" s="113"/>
      <c r="AQ369" s="56"/>
      <c r="AR369" s="404"/>
    </row>
    <row r="370" spans="6:44" hidden="1" x14ac:dyDescent="0.25">
      <c r="F370" s="113"/>
      <c r="G370" s="113"/>
      <c r="L370" s="117"/>
      <c r="P370" s="113"/>
      <c r="Q370" s="136"/>
      <c r="R370" s="98"/>
      <c r="S370" s="118"/>
      <c r="T370" s="118"/>
      <c r="V370" s="223"/>
      <c r="X370" s="98"/>
      <c r="Z370" s="98"/>
      <c r="AA370" s="98"/>
      <c r="AB370" s="98"/>
      <c r="AC370" s="298"/>
      <c r="AD370" s="53"/>
      <c r="AE370" s="113"/>
      <c r="AF370" s="113"/>
      <c r="AG370" s="113"/>
      <c r="AH370" s="113"/>
      <c r="AI370" s="113"/>
      <c r="AM370" s="115"/>
      <c r="AO370" s="113"/>
      <c r="AP370" s="113"/>
      <c r="AQ370" s="56"/>
      <c r="AR370" s="404"/>
    </row>
    <row r="371" spans="6:44" hidden="1" x14ac:dyDescent="0.25">
      <c r="F371" s="113"/>
      <c r="G371" s="113"/>
      <c r="L371" s="117"/>
      <c r="P371" s="113"/>
      <c r="Q371" s="136"/>
      <c r="R371" s="98"/>
      <c r="S371" s="118"/>
      <c r="T371" s="118"/>
      <c r="V371" s="223"/>
      <c r="X371" s="98"/>
      <c r="Z371" s="98"/>
      <c r="AA371" s="98"/>
      <c r="AB371" s="98"/>
      <c r="AC371" s="298"/>
      <c r="AD371" s="53"/>
      <c r="AE371" s="113"/>
      <c r="AF371" s="113"/>
      <c r="AG371" s="113"/>
      <c r="AH371" s="113"/>
      <c r="AI371" s="113"/>
      <c r="AM371" s="115"/>
      <c r="AO371" s="113"/>
      <c r="AP371" s="113"/>
      <c r="AQ371" s="56"/>
      <c r="AR371" s="404"/>
    </row>
    <row r="372" spans="6:44" hidden="1" x14ac:dyDescent="0.25">
      <c r="F372" s="113"/>
      <c r="G372" s="113"/>
      <c r="L372" s="117"/>
      <c r="P372" s="113"/>
      <c r="Q372" s="136"/>
      <c r="R372" s="98"/>
      <c r="S372" s="118"/>
      <c r="T372" s="118"/>
      <c r="V372" s="223"/>
      <c r="X372" s="98"/>
      <c r="Z372" s="98"/>
      <c r="AA372" s="98"/>
      <c r="AB372" s="98"/>
      <c r="AC372" s="298"/>
      <c r="AD372" s="53"/>
      <c r="AE372" s="113"/>
      <c r="AF372" s="113"/>
      <c r="AG372" s="113"/>
      <c r="AH372" s="113"/>
      <c r="AI372" s="113"/>
      <c r="AM372" s="115"/>
      <c r="AO372" s="113"/>
      <c r="AP372" s="113"/>
      <c r="AQ372" s="56"/>
      <c r="AR372" s="404"/>
    </row>
    <row r="373" spans="6:44" hidden="1" x14ac:dyDescent="0.25">
      <c r="F373" s="113"/>
      <c r="G373" s="113"/>
      <c r="L373" s="117"/>
      <c r="P373" s="113"/>
      <c r="Q373" s="136"/>
      <c r="R373" s="98"/>
      <c r="S373" s="118"/>
      <c r="T373" s="118"/>
      <c r="V373" s="223"/>
      <c r="X373" s="98"/>
      <c r="Z373" s="98"/>
      <c r="AA373" s="98"/>
      <c r="AB373" s="98"/>
      <c r="AC373" s="298"/>
      <c r="AD373" s="53"/>
      <c r="AE373" s="113"/>
      <c r="AF373" s="113"/>
      <c r="AG373" s="113"/>
      <c r="AH373" s="113"/>
      <c r="AI373" s="113"/>
      <c r="AM373" s="115"/>
      <c r="AO373" s="113"/>
      <c r="AP373" s="113"/>
      <c r="AQ373" s="56"/>
      <c r="AR373" s="404"/>
    </row>
    <row r="374" spans="6:44" hidden="1" x14ac:dyDescent="0.25">
      <c r="F374" s="113"/>
      <c r="G374" s="113"/>
      <c r="L374" s="117"/>
      <c r="P374" s="113"/>
      <c r="Q374" s="136"/>
      <c r="R374" s="98"/>
      <c r="S374" s="118"/>
      <c r="T374" s="118"/>
      <c r="V374" s="223"/>
      <c r="X374" s="98"/>
      <c r="Z374" s="98"/>
      <c r="AA374" s="98"/>
      <c r="AB374" s="98"/>
      <c r="AC374" s="298"/>
      <c r="AD374" s="53"/>
      <c r="AE374" s="113"/>
      <c r="AF374" s="113"/>
      <c r="AG374" s="113"/>
      <c r="AH374" s="113"/>
      <c r="AI374" s="113"/>
      <c r="AM374" s="115"/>
      <c r="AO374" s="113"/>
      <c r="AP374" s="113"/>
      <c r="AQ374" s="56"/>
      <c r="AR374" s="404"/>
    </row>
    <row r="375" spans="6:44" hidden="1" x14ac:dyDescent="0.25">
      <c r="F375" s="113"/>
      <c r="G375" s="113"/>
      <c r="L375" s="117"/>
      <c r="P375" s="113"/>
      <c r="Q375" s="136"/>
      <c r="R375" s="98"/>
      <c r="S375" s="118"/>
      <c r="T375" s="118"/>
      <c r="V375" s="223"/>
      <c r="X375" s="98"/>
      <c r="Z375" s="98"/>
      <c r="AA375" s="98"/>
      <c r="AB375" s="98"/>
      <c r="AC375" s="298"/>
      <c r="AD375" s="53"/>
      <c r="AE375" s="113"/>
      <c r="AF375" s="113"/>
      <c r="AG375" s="113"/>
      <c r="AH375" s="113"/>
      <c r="AI375" s="113"/>
      <c r="AM375" s="115"/>
      <c r="AO375" s="113"/>
      <c r="AP375" s="113"/>
      <c r="AQ375" s="56"/>
      <c r="AR375" s="404"/>
    </row>
    <row r="376" spans="6:44" hidden="1" x14ac:dyDescent="0.25">
      <c r="F376" s="113"/>
      <c r="G376" s="113"/>
      <c r="L376" s="117"/>
      <c r="P376" s="113"/>
      <c r="Q376" s="136"/>
      <c r="R376" s="98"/>
      <c r="S376" s="118"/>
      <c r="T376" s="118"/>
      <c r="V376" s="223"/>
      <c r="X376" s="98"/>
      <c r="Z376" s="98"/>
      <c r="AA376" s="98"/>
      <c r="AB376" s="98"/>
      <c r="AC376" s="298"/>
      <c r="AD376" s="53"/>
      <c r="AE376" s="113"/>
      <c r="AF376" s="113"/>
      <c r="AG376" s="113"/>
      <c r="AH376" s="113"/>
      <c r="AI376" s="113"/>
      <c r="AM376" s="115"/>
      <c r="AO376" s="113"/>
      <c r="AP376" s="113"/>
      <c r="AQ376" s="56"/>
      <c r="AR376" s="404"/>
    </row>
    <row r="377" spans="6:44" hidden="1" x14ac:dyDescent="0.25">
      <c r="F377" s="113"/>
      <c r="G377" s="113"/>
      <c r="L377" s="117"/>
      <c r="P377" s="113"/>
      <c r="Q377" s="136"/>
      <c r="R377" s="98"/>
      <c r="S377" s="118"/>
      <c r="T377" s="118"/>
      <c r="V377" s="223"/>
      <c r="X377" s="98"/>
      <c r="Z377" s="98"/>
      <c r="AA377" s="98"/>
      <c r="AB377" s="98"/>
      <c r="AC377" s="298"/>
      <c r="AD377" s="53"/>
      <c r="AE377" s="113"/>
      <c r="AF377" s="113"/>
      <c r="AG377" s="113"/>
      <c r="AH377" s="113"/>
      <c r="AI377" s="113"/>
      <c r="AM377" s="115"/>
      <c r="AO377" s="113"/>
      <c r="AP377" s="113"/>
      <c r="AQ377" s="56"/>
      <c r="AR377" s="404"/>
    </row>
    <row r="378" spans="6:44" hidden="1" x14ac:dyDescent="0.25">
      <c r="F378" s="113"/>
      <c r="G378" s="113"/>
      <c r="L378" s="117"/>
      <c r="P378" s="113"/>
      <c r="Q378" s="136"/>
      <c r="R378" s="98"/>
      <c r="S378" s="118"/>
      <c r="T378" s="118"/>
      <c r="V378" s="223"/>
      <c r="X378" s="98"/>
      <c r="Z378" s="98"/>
      <c r="AA378" s="98"/>
      <c r="AB378" s="98"/>
      <c r="AC378" s="298"/>
      <c r="AD378" s="53"/>
      <c r="AE378" s="113"/>
      <c r="AF378" s="113"/>
      <c r="AG378" s="113"/>
      <c r="AH378" s="113"/>
      <c r="AI378" s="113"/>
      <c r="AM378" s="115"/>
      <c r="AO378" s="113"/>
      <c r="AP378" s="113"/>
      <c r="AQ378" s="56"/>
      <c r="AR378" s="404"/>
    </row>
    <row r="379" spans="6:44" hidden="1" x14ac:dyDescent="0.25">
      <c r="F379" s="113"/>
      <c r="G379" s="113"/>
      <c r="L379" s="117"/>
      <c r="P379" s="113"/>
      <c r="Q379" s="136"/>
      <c r="R379" s="98"/>
      <c r="S379" s="118"/>
      <c r="T379" s="118"/>
      <c r="V379" s="223"/>
      <c r="X379" s="98"/>
      <c r="Z379" s="98"/>
      <c r="AA379" s="98"/>
      <c r="AB379" s="98"/>
      <c r="AC379" s="298"/>
      <c r="AD379" s="53"/>
      <c r="AE379" s="113"/>
      <c r="AF379" s="113"/>
      <c r="AG379" s="113"/>
      <c r="AH379" s="113"/>
      <c r="AI379" s="113"/>
      <c r="AM379" s="115"/>
      <c r="AO379" s="113"/>
      <c r="AP379" s="113"/>
      <c r="AQ379" s="56"/>
      <c r="AR379" s="404"/>
    </row>
    <row r="380" spans="6:44" hidden="1" x14ac:dyDescent="0.25">
      <c r="F380" s="113"/>
      <c r="G380" s="113"/>
      <c r="L380" s="117"/>
      <c r="P380" s="113"/>
      <c r="Q380" s="136"/>
      <c r="R380" s="98"/>
      <c r="S380" s="118"/>
      <c r="T380" s="118"/>
      <c r="V380" s="223"/>
      <c r="X380" s="98"/>
      <c r="Z380" s="98"/>
      <c r="AA380" s="98"/>
      <c r="AB380" s="98"/>
      <c r="AC380" s="298"/>
      <c r="AD380" s="53"/>
      <c r="AE380" s="113"/>
      <c r="AF380" s="113"/>
      <c r="AG380" s="113"/>
      <c r="AH380" s="113"/>
      <c r="AI380" s="113"/>
      <c r="AM380" s="115"/>
      <c r="AO380" s="113"/>
      <c r="AP380" s="113"/>
      <c r="AQ380" s="56"/>
      <c r="AR380" s="404"/>
    </row>
    <row r="381" spans="6:44" hidden="1" x14ac:dyDescent="0.25">
      <c r="F381" s="113"/>
      <c r="G381" s="113"/>
      <c r="L381" s="117"/>
      <c r="P381" s="113"/>
      <c r="Q381" s="136"/>
      <c r="R381" s="98"/>
      <c r="S381" s="118"/>
      <c r="T381" s="118"/>
      <c r="V381" s="223"/>
      <c r="X381" s="98"/>
      <c r="Z381" s="98"/>
      <c r="AA381" s="98"/>
      <c r="AB381" s="98"/>
      <c r="AC381" s="298"/>
      <c r="AD381" s="53"/>
      <c r="AE381" s="113"/>
      <c r="AF381" s="113"/>
      <c r="AG381" s="113"/>
      <c r="AH381" s="113"/>
      <c r="AI381" s="113"/>
      <c r="AM381" s="115"/>
      <c r="AO381" s="113"/>
      <c r="AP381" s="113"/>
      <c r="AQ381" s="56"/>
      <c r="AR381" s="404"/>
    </row>
    <row r="382" spans="6:44" hidden="1" x14ac:dyDescent="0.25">
      <c r="F382" s="113"/>
      <c r="G382" s="113"/>
      <c r="L382" s="117"/>
      <c r="P382" s="113"/>
      <c r="Q382" s="136"/>
      <c r="R382" s="98"/>
      <c r="S382" s="118"/>
      <c r="T382" s="118"/>
      <c r="V382" s="223"/>
      <c r="X382" s="98"/>
      <c r="Z382" s="98"/>
      <c r="AA382" s="98"/>
      <c r="AB382" s="98"/>
      <c r="AC382" s="298"/>
      <c r="AD382" s="53"/>
      <c r="AE382" s="113"/>
      <c r="AF382" s="113"/>
      <c r="AG382" s="113"/>
      <c r="AH382" s="113"/>
      <c r="AI382" s="113"/>
      <c r="AM382" s="115"/>
      <c r="AO382" s="113"/>
      <c r="AP382" s="113"/>
      <c r="AQ382" s="56"/>
      <c r="AR382" s="404"/>
    </row>
    <row r="383" spans="6:44" hidden="1" x14ac:dyDescent="0.25">
      <c r="F383" s="113"/>
      <c r="G383" s="113"/>
      <c r="L383" s="117"/>
      <c r="P383" s="113"/>
      <c r="Q383" s="136"/>
      <c r="R383" s="98"/>
      <c r="S383" s="118"/>
      <c r="T383" s="118"/>
      <c r="V383" s="223"/>
      <c r="X383" s="98"/>
      <c r="Z383" s="98"/>
      <c r="AA383" s="98"/>
      <c r="AB383" s="98"/>
      <c r="AC383" s="298"/>
      <c r="AD383" s="53"/>
      <c r="AE383" s="113"/>
      <c r="AF383" s="113"/>
      <c r="AG383" s="113"/>
      <c r="AH383" s="113"/>
      <c r="AI383" s="113"/>
      <c r="AM383" s="115"/>
      <c r="AO383" s="113"/>
      <c r="AP383" s="113"/>
      <c r="AQ383" s="56"/>
      <c r="AR383" s="404"/>
    </row>
    <row r="384" spans="6:44" hidden="1" x14ac:dyDescent="0.25">
      <c r="F384" s="113"/>
      <c r="G384" s="113"/>
      <c r="L384" s="117"/>
      <c r="P384" s="113"/>
      <c r="Q384" s="136"/>
      <c r="R384" s="98"/>
      <c r="S384" s="118"/>
      <c r="T384" s="118"/>
      <c r="V384" s="223"/>
      <c r="X384" s="98"/>
      <c r="Z384" s="98"/>
      <c r="AA384" s="98"/>
      <c r="AB384" s="98"/>
      <c r="AC384" s="298"/>
      <c r="AD384" s="53"/>
      <c r="AE384" s="113"/>
      <c r="AF384" s="113"/>
      <c r="AG384" s="113"/>
      <c r="AH384" s="113"/>
      <c r="AI384" s="113"/>
      <c r="AM384" s="115"/>
      <c r="AO384" s="113"/>
      <c r="AP384" s="113"/>
      <c r="AQ384" s="56"/>
      <c r="AR384" s="404"/>
    </row>
    <row r="385" spans="6:44" hidden="1" x14ac:dyDescent="0.25">
      <c r="F385" s="113"/>
      <c r="G385" s="113"/>
      <c r="L385" s="117"/>
      <c r="P385" s="113"/>
      <c r="Q385" s="136"/>
      <c r="R385" s="98"/>
      <c r="S385" s="118"/>
      <c r="T385" s="118"/>
      <c r="V385" s="223"/>
      <c r="X385" s="98"/>
      <c r="Z385" s="98"/>
      <c r="AA385" s="98"/>
      <c r="AB385" s="98"/>
      <c r="AC385" s="298"/>
      <c r="AD385" s="53"/>
      <c r="AE385" s="113"/>
      <c r="AF385" s="113"/>
      <c r="AG385" s="113"/>
      <c r="AH385" s="113"/>
      <c r="AI385" s="113"/>
      <c r="AM385" s="115"/>
      <c r="AO385" s="113"/>
      <c r="AP385" s="113"/>
      <c r="AQ385" s="56"/>
      <c r="AR385" s="404"/>
    </row>
    <row r="386" spans="6:44" hidden="1" x14ac:dyDescent="0.25">
      <c r="F386" s="113"/>
      <c r="G386" s="113"/>
      <c r="L386" s="117"/>
      <c r="P386" s="113"/>
      <c r="Q386" s="136"/>
      <c r="R386" s="98"/>
      <c r="S386" s="118"/>
      <c r="T386" s="118"/>
      <c r="V386" s="223"/>
      <c r="X386" s="98"/>
      <c r="Z386" s="98"/>
      <c r="AA386" s="98"/>
      <c r="AB386" s="98"/>
      <c r="AC386" s="298"/>
      <c r="AD386" s="53"/>
      <c r="AE386" s="113"/>
      <c r="AF386" s="113"/>
      <c r="AG386" s="113"/>
      <c r="AH386" s="113"/>
      <c r="AI386" s="113"/>
      <c r="AM386" s="115"/>
      <c r="AO386" s="113"/>
      <c r="AP386" s="113"/>
      <c r="AQ386" s="56"/>
      <c r="AR386" s="404"/>
    </row>
    <row r="387" spans="6:44" hidden="1" x14ac:dyDescent="0.25">
      <c r="F387" s="113"/>
      <c r="G387" s="113"/>
      <c r="L387" s="117"/>
      <c r="P387" s="113"/>
      <c r="Q387" s="136"/>
      <c r="R387" s="98"/>
      <c r="S387" s="118"/>
      <c r="T387" s="118"/>
      <c r="V387" s="223"/>
      <c r="X387" s="98"/>
      <c r="Z387" s="98"/>
      <c r="AA387" s="98"/>
      <c r="AB387" s="98"/>
      <c r="AC387" s="298"/>
      <c r="AD387" s="53"/>
      <c r="AE387" s="113"/>
      <c r="AF387" s="113"/>
      <c r="AG387" s="113"/>
      <c r="AH387" s="113"/>
      <c r="AI387" s="113"/>
      <c r="AM387" s="115"/>
      <c r="AO387" s="113"/>
      <c r="AP387" s="113"/>
      <c r="AQ387" s="56"/>
      <c r="AR387" s="404"/>
    </row>
    <row r="388" spans="6:44" hidden="1" x14ac:dyDescent="0.25">
      <c r="F388" s="113"/>
      <c r="G388" s="113"/>
      <c r="L388" s="117"/>
      <c r="P388" s="113"/>
      <c r="Q388" s="136"/>
      <c r="R388" s="98"/>
      <c r="S388" s="118"/>
      <c r="T388" s="118"/>
      <c r="V388" s="223"/>
      <c r="X388" s="98"/>
      <c r="Z388" s="98"/>
      <c r="AA388" s="98"/>
      <c r="AB388" s="98"/>
      <c r="AC388" s="298"/>
      <c r="AD388" s="53"/>
      <c r="AE388" s="113"/>
      <c r="AF388" s="113"/>
      <c r="AG388" s="113"/>
      <c r="AH388" s="113"/>
      <c r="AI388" s="113"/>
      <c r="AM388" s="115"/>
      <c r="AO388" s="113"/>
      <c r="AP388" s="113"/>
      <c r="AQ388" s="56"/>
      <c r="AR388" s="404"/>
    </row>
    <row r="389" spans="6:44" hidden="1" x14ac:dyDescent="0.25">
      <c r="F389" s="113"/>
      <c r="G389" s="113"/>
      <c r="L389" s="117"/>
      <c r="P389" s="113"/>
      <c r="Q389" s="136"/>
      <c r="R389" s="98"/>
      <c r="S389" s="118"/>
      <c r="T389" s="118"/>
      <c r="V389" s="223"/>
      <c r="X389" s="98"/>
      <c r="Z389" s="98"/>
      <c r="AA389" s="98"/>
      <c r="AB389" s="98"/>
      <c r="AC389" s="298"/>
      <c r="AD389" s="53"/>
      <c r="AE389" s="113"/>
      <c r="AF389" s="113"/>
      <c r="AG389" s="113"/>
      <c r="AH389" s="113"/>
      <c r="AI389" s="113"/>
      <c r="AM389" s="115"/>
      <c r="AO389" s="113"/>
      <c r="AP389" s="113"/>
      <c r="AQ389" s="56"/>
      <c r="AR389" s="404"/>
    </row>
    <row r="390" spans="6:44" hidden="1" x14ac:dyDescent="0.25">
      <c r="F390" s="113"/>
      <c r="G390" s="113"/>
      <c r="L390" s="117"/>
      <c r="P390" s="113"/>
      <c r="Q390" s="136"/>
      <c r="R390" s="98"/>
      <c r="S390" s="118"/>
      <c r="T390" s="118"/>
      <c r="V390" s="223"/>
      <c r="X390" s="98"/>
      <c r="Z390" s="98"/>
      <c r="AA390" s="98"/>
      <c r="AB390" s="98"/>
      <c r="AC390" s="298"/>
      <c r="AD390" s="53"/>
      <c r="AE390" s="113"/>
      <c r="AF390" s="113"/>
      <c r="AG390" s="113"/>
      <c r="AH390" s="113"/>
      <c r="AI390" s="113"/>
      <c r="AM390" s="115"/>
      <c r="AO390" s="113"/>
      <c r="AP390" s="113"/>
      <c r="AQ390" s="56"/>
      <c r="AR390" s="404"/>
    </row>
    <row r="391" spans="6:44" hidden="1" x14ac:dyDescent="0.25">
      <c r="F391" s="113"/>
      <c r="G391" s="113"/>
      <c r="L391" s="117"/>
      <c r="P391" s="113"/>
      <c r="Q391" s="136"/>
      <c r="R391" s="98"/>
      <c r="S391" s="118"/>
      <c r="T391" s="118"/>
      <c r="V391" s="223"/>
      <c r="X391" s="98"/>
      <c r="Z391" s="98"/>
      <c r="AA391" s="98"/>
      <c r="AB391" s="98"/>
      <c r="AC391" s="298"/>
      <c r="AD391" s="53"/>
      <c r="AE391" s="113"/>
      <c r="AF391" s="113"/>
      <c r="AG391" s="113"/>
      <c r="AH391" s="113"/>
      <c r="AI391" s="113"/>
      <c r="AM391" s="115"/>
      <c r="AO391" s="113"/>
      <c r="AP391" s="113"/>
      <c r="AQ391" s="56"/>
      <c r="AR391" s="404"/>
    </row>
    <row r="392" spans="6:44" hidden="1" x14ac:dyDescent="0.25">
      <c r="F392" s="113"/>
      <c r="G392" s="113"/>
      <c r="L392" s="117"/>
      <c r="P392" s="113"/>
      <c r="Q392" s="136"/>
      <c r="R392" s="98"/>
      <c r="S392" s="118"/>
      <c r="T392" s="118"/>
      <c r="V392" s="223"/>
      <c r="X392" s="98"/>
      <c r="Z392" s="98"/>
      <c r="AA392" s="98"/>
      <c r="AB392" s="98"/>
      <c r="AC392" s="298"/>
      <c r="AD392" s="53"/>
      <c r="AE392" s="113"/>
      <c r="AF392" s="113"/>
      <c r="AG392" s="113"/>
      <c r="AH392" s="113"/>
      <c r="AI392" s="113"/>
      <c r="AM392" s="115"/>
      <c r="AO392" s="113"/>
      <c r="AP392" s="113"/>
      <c r="AQ392" s="56"/>
      <c r="AR392" s="404"/>
    </row>
    <row r="393" spans="6:44" hidden="1" x14ac:dyDescent="0.25">
      <c r="F393" s="113"/>
      <c r="G393" s="113"/>
      <c r="L393" s="117"/>
      <c r="P393" s="113"/>
      <c r="Q393" s="136"/>
      <c r="R393" s="98"/>
      <c r="S393" s="118"/>
      <c r="T393" s="118"/>
      <c r="V393" s="223"/>
      <c r="X393" s="98"/>
      <c r="Z393" s="98"/>
      <c r="AA393" s="98"/>
      <c r="AB393" s="98"/>
      <c r="AC393" s="298"/>
      <c r="AD393" s="53"/>
      <c r="AE393" s="113"/>
      <c r="AF393" s="113"/>
      <c r="AG393" s="113"/>
      <c r="AH393" s="113"/>
      <c r="AI393" s="113"/>
      <c r="AM393" s="115"/>
      <c r="AO393" s="113"/>
      <c r="AP393" s="113"/>
      <c r="AQ393" s="56"/>
      <c r="AR393" s="404"/>
    </row>
    <row r="394" spans="6:44" hidden="1" x14ac:dyDescent="0.25">
      <c r="F394" s="113"/>
      <c r="G394" s="113"/>
      <c r="L394" s="117"/>
      <c r="P394" s="113"/>
      <c r="Q394" s="136"/>
      <c r="R394" s="98"/>
      <c r="S394" s="118"/>
      <c r="T394" s="118"/>
      <c r="V394" s="223"/>
      <c r="X394" s="98"/>
      <c r="Z394" s="98"/>
      <c r="AA394" s="98"/>
      <c r="AB394" s="98"/>
      <c r="AC394" s="298"/>
      <c r="AD394" s="53"/>
      <c r="AE394" s="113"/>
      <c r="AF394" s="113"/>
      <c r="AG394" s="113"/>
      <c r="AH394" s="113"/>
      <c r="AI394" s="113"/>
      <c r="AM394" s="115"/>
      <c r="AO394" s="113"/>
      <c r="AP394" s="113"/>
      <c r="AQ394" s="56"/>
      <c r="AR394" s="404"/>
    </row>
    <row r="395" spans="6:44" hidden="1" x14ac:dyDescent="0.25">
      <c r="F395" s="113"/>
      <c r="G395" s="113"/>
      <c r="L395" s="117"/>
      <c r="P395" s="113"/>
      <c r="Q395" s="136"/>
      <c r="R395" s="98"/>
      <c r="S395" s="118"/>
      <c r="T395" s="118"/>
      <c r="V395" s="223"/>
      <c r="X395" s="98"/>
      <c r="Z395" s="98"/>
      <c r="AA395" s="98"/>
      <c r="AB395" s="98"/>
      <c r="AC395" s="298"/>
      <c r="AD395" s="53"/>
      <c r="AE395" s="113"/>
      <c r="AF395" s="113"/>
      <c r="AG395" s="113"/>
      <c r="AH395" s="113"/>
      <c r="AI395" s="113"/>
      <c r="AM395" s="115"/>
      <c r="AO395" s="113"/>
      <c r="AP395" s="113"/>
      <c r="AQ395" s="56"/>
      <c r="AR395" s="404"/>
    </row>
    <row r="396" spans="6:44" hidden="1" x14ac:dyDescent="0.25">
      <c r="F396" s="113"/>
      <c r="G396" s="113"/>
      <c r="L396" s="117"/>
      <c r="P396" s="113"/>
      <c r="Q396" s="136"/>
      <c r="R396" s="98"/>
      <c r="S396" s="118"/>
      <c r="T396" s="118"/>
      <c r="V396" s="223"/>
      <c r="X396" s="98"/>
      <c r="Z396" s="98"/>
      <c r="AA396" s="98"/>
      <c r="AB396" s="98"/>
      <c r="AC396" s="298"/>
      <c r="AD396" s="53"/>
      <c r="AE396" s="113"/>
      <c r="AF396" s="113"/>
      <c r="AG396" s="113"/>
      <c r="AH396" s="113"/>
      <c r="AI396" s="113"/>
      <c r="AM396" s="115"/>
      <c r="AO396" s="113"/>
      <c r="AP396" s="113"/>
      <c r="AQ396" s="56"/>
      <c r="AR396" s="404"/>
    </row>
    <row r="397" spans="6:44" hidden="1" x14ac:dyDescent="0.25">
      <c r="F397" s="113"/>
      <c r="G397" s="113"/>
      <c r="L397" s="117"/>
      <c r="P397" s="113"/>
      <c r="Q397" s="136"/>
      <c r="R397" s="98"/>
      <c r="S397" s="118"/>
      <c r="T397" s="118"/>
      <c r="V397" s="223"/>
      <c r="X397" s="98"/>
      <c r="Z397" s="98"/>
      <c r="AA397" s="98"/>
      <c r="AB397" s="98"/>
      <c r="AC397" s="298"/>
      <c r="AD397" s="53"/>
      <c r="AE397" s="113"/>
      <c r="AF397" s="113"/>
      <c r="AG397" s="113"/>
      <c r="AH397" s="113"/>
      <c r="AI397" s="113"/>
      <c r="AM397" s="115"/>
      <c r="AO397" s="113"/>
      <c r="AP397" s="113"/>
      <c r="AQ397" s="56"/>
      <c r="AR397" s="404"/>
    </row>
    <row r="398" spans="6:44" hidden="1" x14ac:dyDescent="0.25">
      <c r="F398" s="113"/>
      <c r="G398" s="113"/>
      <c r="L398" s="117"/>
      <c r="P398" s="113"/>
      <c r="Q398" s="136"/>
      <c r="R398" s="98"/>
      <c r="S398" s="118"/>
      <c r="T398" s="118"/>
      <c r="V398" s="223"/>
      <c r="X398" s="98"/>
      <c r="Z398" s="98"/>
      <c r="AA398" s="98"/>
      <c r="AB398" s="98"/>
      <c r="AC398" s="298"/>
      <c r="AD398" s="53"/>
      <c r="AE398" s="113"/>
      <c r="AF398" s="113"/>
      <c r="AG398" s="113"/>
      <c r="AH398" s="113"/>
      <c r="AI398" s="113"/>
      <c r="AM398" s="115"/>
      <c r="AO398" s="113"/>
      <c r="AP398" s="113"/>
      <c r="AQ398" s="56"/>
      <c r="AR398" s="404"/>
    </row>
    <row r="399" spans="6:44" hidden="1" x14ac:dyDescent="0.25">
      <c r="F399" s="113"/>
      <c r="G399" s="113"/>
      <c r="L399" s="117"/>
      <c r="P399" s="113"/>
      <c r="Q399" s="136"/>
      <c r="R399" s="98"/>
      <c r="S399" s="118"/>
      <c r="T399" s="118"/>
      <c r="V399" s="223"/>
      <c r="X399" s="98"/>
      <c r="Z399" s="98"/>
      <c r="AA399" s="98"/>
      <c r="AB399" s="98"/>
      <c r="AC399" s="298"/>
      <c r="AD399" s="53"/>
      <c r="AE399" s="113"/>
      <c r="AF399" s="113"/>
      <c r="AG399" s="113"/>
      <c r="AH399" s="113"/>
      <c r="AI399" s="113"/>
      <c r="AM399" s="115"/>
      <c r="AO399" s="113"/>
      <c r="AP399" s="113"/>
      <c r="AQ399" s="56"/>
      <c r="AR399" s="404"/>
    </row>
    <row r="400" spans="6:44" hidden="1" x14ac:dyDescent="0.25">
      <c r="F400" s="113"/>
      <c r="G400" s="113"/>
      <c r="L400" s="117"/>
      <c r="P400" s="113"/>
      <c r="Q400" s="136"/>
      <c r="R400" s="98"/>
      <c r="S400" s="118"/>
      <c r="T400" s="118"/>
      <c r="V400" s="223"/>
      <c r="X400" s="98"/>
      <c r="Z400" s="98"/>
      <c r="AA400" s="98"/>
      <c r="AB400" s="98"/>
      <c r="AC400" s="298"/>
      <c r="AD400" s="53"/>
      <c r="AE400" s="113"/>
      <c r="AF400" s="113"/>
      <c r="AG400" s="113"/>
      <c r="AH400" s="113"/>
      <c r="AI400" s="113"/>
      <c r="AM400" s="115"/>
      <c r="AO400" s="113"/>
      <c r="AP400" s="113"/>
      <c r="AQ400" s="56"/>
      <c r="AR400" s="404"/>
    </row>
    <row r="401" spans="6:44" x14ac:dyDescent="0.25">
      <c r="F401" s="113"/>
      <c r="G401" s="113"/>
      <c r="L401" s="117"/>
      <c r="P401" s="113"/>
      <c r="Q401" s="136"/>
      <c r="R401" s="98"/>
      <c r="S401" s="118"/>
      <c r="T401" s="118"/>
      <c r="V401" s="223"/>
      <c r="X401" s="98"/>
      <c r="Z401" s="98"/>
      <c r="AA401" s="98"/>
      <c r="AB401" s="98"/>
      <c r="AC401" s="298"/>
      <c r="AD401" s="53"/>
      <c r="AE401" s="113"/>
      <c r="AF401" s="113"/>
      <c r="AG401" s="113"/>
      <c r="AH401" s="113"/>
      <c r="AI401" s="113"/>
      <c r="AM401" s="115"/>
      <c r="AO401" s="113"/>
      <c r="AP401" s="113"/>
      <c r="AQ401" s="56"/>
      <c r="AR401" s="404"/>
    </row>
    <row r="402" spans="6:44" x14ac:dyDescent="0.25">
      <c r="F402" s="113"/>
      <c r="G402" s="113"/>
      <c r="L402" s="117"/>
      <c r="P402" s="113"/>
      <c r="Q402" s="136"/>
      <c r="R402" s="98"/>
      <c r="S402" s="118"/>
      <c r="T402" s="118"/>
      <c r="V402" s="223"/>
      <c r="X402" s="98"/>
      <c r="Z402" s="98"/>
      <c r="AA402" s="98"/>
      <c r="AB402" s="98"/>
      <c r="AC402" s="298"/>
      <c r="AD402" s="53"/>
      <c r="AE402" s="113"/>
      <c r="AF402" s="113"/>
      <c r="AG402" s="113"/>
      <c r="AH402" s="113"/>
      <c r="AI402" s="113"/>
      <c r="AM402" s="115"/>
      <c r="AO402" s="113"/>
      <c r="AP402" s="113"/>
      <c r="AQ402" s="56"/>
      <c r="AR402" s="404"/>
    </row>
    <row r="403" spans="6:44" x14ac:dyDescent="0.25"/>
    <row r="404" spans="6:44" x14ac:dyDescent="0.25"/>
    <row r="405" spans="6:44" x14ac:dyDescent="0.25"/>
    <row r="406" spans="6:44" x14ac:dyDescent="0.25"/>
    <row r="407" spans="6:44" x14ac:dyDescent="0.25"/>
    <row r="408" spans="6:44" x14ac:dyDescent="0.25"/>
    <row r="409" spans="6:44" x14ac:dyDescent="0.25"/>
    <row r="410" spans="6:44" x14ac:dyDescent="0.25"/>
    <row r="411" spans="6:44" x14ac:dyDescent="0.25"/>
    <row r="412" spans="6:44" x14ac:dyDescent="0.25"/>
    <row r="413" spans="6:44" x14ac:dyDescent="0.25"/>
    <row r="414" spans="6:44" x14ac:dyDescent="0.25"/>
    <row r="415" spans="6:44" x14ac:dyDescent="0.25"/>
    <row r="416" spans="6:44"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sheetData>
  <sheetProtection algorithmName="SHA-512" hashValue="2vCQg7epVsr+1PROKHV46SiMaCFM6tksOe57iG3fuKmj6DstVGxRkQW0G0ydA0T3zDWAtJvcmCO+CiPEop5JGg==" saltValue="RlavJcP7je2SRRmcdq/naA==" spinCount="100000" sheet="1" objects="1" scenarios="1"/>
  <hyperlinks>
    <hyperlink ref="A3" location="'M04-S01'!A1" display="=CONCATENATE(MAIN4,&quot; &quot;,M4S1)" xr:uid="{00000000-0004-0000-0600-00000D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7797-9DD8-457A-96A8-2FF01AE7828B}">
  <sheetPr codeName="Sheet7"/>
  <dimension ref="A1:G70"/>
  <sheetViews>
    <sheetView showRowColHeaders="0" topLeftCell="A48" zoomScaleNormal="100" workbookViewId="0">
      <selection activeCell="B77" sqref="B77"/>
    </sheetView>
  </sheetViews>
  <sheetFormatPr defaultRowHeight="15" x14ac:dyDescent="0.25"/>
  <cols>
    <col min="1" max="2" width="16.28515625" customWidth="1"/>
    <col min="4" max="4" width="116.7109375" customWidth="1"/>
  </cols>
  <sheetData>
    <row r="1" spans="1:7" x14ac:dyDescent="0.25">
      <c r="A1" s="493" t="s">
        <v>128</v>
      </c>
      <c r="B1" s="493"/>
      <c r="C1" s="493"/>
      <c r="D1" s="493"/>
    </row>
    <row r="2" spans="1:7" x14ac:dyDescent="0.25">
      <c r="A2" s="493"/>
      <c r="B2" s="493"/>
      <c r="C2" s="493"/>
      <c r="D2" s="493"/>
    </row>
    <row r="3" spans="1:7" x14ac:dyDescent="0.25">
      <c r="A3" s="493"/>
      <c r="B3" s="493"/>
      <c r="C3" s="493"/>
      <c r="D3" s="493"/>
    </row>
    <row r="4" spans="1:7" x14ac:dyDescent="0.25">
      <c r="A4" s="18" t="s">
        <v>131</v>
      </c>
      <c r="B4" s="18" t="s">
        <v>129</v>
      </c>
      <c r="C4" s="18" t="s">
        <v>130</v>
      </c>
      <c r="D4" s="19" t="s">
        <v>132</v>
      </c>
      <c r="F4" s="18" t="s">
        <v>1026</v>
      </c>
    </row>
    <row r="5" spans="1:7" ht="15.75" x14ac:dyDescent="0.3">
      <c r="A5" s="344">
        <v>42464</v>
      </c>
      <c r="B5" s="345" t="s">
        <v>989</v>
      </c>
      <c r="C5" s="346" t="s">
        <v>990</v>
      </c>
      <c r="D5" s="347" t="s">
        <v>991</v>
      </c>
      <c r="F5" t="s">
        <v>1022</v>
      </c>
      <c r="G5" t="s">
        <v>1025</v>
      </c>
    </row>
    <row r="6" spans="1:7" ht="54" x14ac:dyDescent="0.3">
      <c r="A6" s="344">
        <v>42467</v>
      </c>
      <c r="B6" s="345" t="s">
        <v>989</v>
      </c>
      <c r="C6" s="346" t="s">
        <v>1007</v>
      </c>
      <c r="D6" s="347" t="s">
        <v>1019</v>
      </c>
      <c r="F6" t="s">
        <v>1023</v>
      </c>
      <c r="G6" t="s">
        <v>1040</v>
      </c>
    </row>
    <row r="7" spans="1:7" ht="40.5" x14ac:dyDescent="0.3">
      <c r="A7" s="344">
        <v>42472</v>
      </c>
      <c r="B7" s="345" t="s">
        <v>989</v>
      </c>
      <c r="C7" s="346" t="s">
        <v>1008</v>
      </c>
      <c r="D7" s="347" t="s">
        <v>1020</v>
      </c>
      <c r="F7" t="s">
        <v>1024</v>
      </c>
      <c r="G7" t="s">
        <v>1030</v>
      </c>
    </row>
    <row r="8" spans="1:7" ht="54" x14ac:dyDescent="0.3">
      <c r="A8" s="344">
        <v>42489</v>
      </c>
      <c r="B8" s="345" t="s">
        <v>989</v>
      </c>
      <c r="C8" s="346" t="s">
        <v>1014</v>
      </c>
      <c r="D8" s="347" t="s">
        <v>1021</v>
      </c>
      <c r="F8" t="s">
        <v>1511</v>
      </c>
    </row>
    <row r="9" spans="1:7" ht="121.5" x14ac:dyDescent="0.3">
      <c r="A9" s="344">
        <v>42510</v>
      </c>
      <c r="B9" s="345" t="s">
        <v>989</v>
      </c>
      <c r="C9" s="346" t="s">
        <v>1028</v>
      </c>
      <c r="D9" s="347" t="s">
        <v>1027</v>
      </c>
    </row>
    <row r="10" spans="1:7" ht="15.75" x14ac:dyDescent="0.3">
      <c r="A10" s="344">
        <v>42514</v>
      </c>
      <c r="B10" s="345" t="s">
        <v>989</v>
      </c>
      <c r="C10" s="346" t="s">
        <v>1029</v>
      </c>
      <c r="D10" s="347" t="s">
        <v>1031</v>
      </c>
    </row>
    <row r="11" spans="1:7" ht="15.75" x14ac:dyDescent="0.3">
      <c r="A11" s="344">
        <v>42517</v>
      </c>
      <c r="B11" s="345" t="s">
        <v>989</v>
      </c>
      <c r="C11" s="346" t="s">
        <v>1036</v>
      </c>
      <c r="D11" s="347" t="s">
        <v>1037</v>
      </c>
    </row>
    <row r="12" spans="1:7" ht="81" x14ac:dyDescent="0.3">
      <c r="A12" s="344">
        <v>42543</v>
      </c>
      <c r="B12" s="345" t="s">
        <v>989</v>
      </c>
      <c r="C12" s="346" t="s">
        <v>1047</v>
      </c>
      <c r="D12" s="347" t="s">
        <v>1048</v>
      </c>
    </row>
    <row r="13" spans="1:7" ht="15.75" x14ac:dyDescent="0.3">
      <c r="A13" s="344">
        <v>42544</v>
      </c>
      <c r="B13" s="345" t="s">
        <v>989</v>
      </c>
      <c r="C13" s="346" t="s">
        <v>1051</v>
      </c>
      <c r="D13" s="347" t="s">
        <v>1052</v>
      </c>
    </row>
    <row r="14" spans="1:7" ht="15.75" x14ac:dyDescent="0.3">
      <c r="A14" s="344">
        <v>42550</v>
      </c>
      <c r="B14" s="345" t="s">
        <v>989</v>
      </c>
      <c r="C14" s="346" t="s">
        <v>1073</v>
      </c>
      <c r="D14" s="347" t="s">
        <v>1074</v>
      </c>
    </row>
    <row r="15" spans="1:7" ht="256.5" x14ac:dyDescent="0.3">
      <c r="A15" s="344">
        <v>42640</v>
      </c>
      <c r="B15" s="345" t="s">
        <v>1103</v>
      </c>
      <c r="C15" s="346" t="s">
        <v>1105</v>
      </c>
      <c r="D15" s="347" t="s">
        <v>1106</v>
      </c>
    </row>
    <row r="16" spans="1:7" ht="121.5" x14ac:dyDescent="0.3">
      <c r="A16" s="344">
        <v>42713</v>
      </c>
      <c r="B16" s="345" t="s">
        <v>1103</v>
      </c>
      <c r="C16" s="346" t="s">
        <v>1107</v>
      </c>
      <c r="D16" s="347" t="s">
        <v>1110</v>
      </c>
    </row>
    <row r="17" spans="1:4" ht="202.5" x14ac:dyDescent="0.3">
      <c r="A17" s="344">
        <v>42793</v>
      </c>
      <c r="B17" s="345" t="s">
        <v>1103</v>
      </c>
      <c r="C17" s="346" t="s">
        <v>1114</v>
      </c>
      <c r="D17" s="347" t="s">
        <v>1117</v>
      </c>
    </row>
    <row r="18" spans="1:4" ht="54" x14ac:dyDescent="0.3">
      <c r="A18" s="344">
        <v>42797</v>
      </c>
      <c r="B18" s="345" t="s">
        <v>989</v>
      </c>
      <c r="C18" s="346" t="s">
        <v>1119</v>
      </c>
      <c r="D18" s="347" t="s">
        <v>1120</v>
      </c>
    </row>
    <row r="19" spans="1:4" ht="15.75" x14ac:dyDescent="0.3">
      <c r="A19" s="344">
        <v>42802</v>
      </c>
      <c r="B19" s="345" t="s">
        <v>1103</v>
      </c>
      <c r="C19" s="346" t="s">
        <v>1121</v>
      </c>
      <c r="D19" s="347" t="s">
        <v>1122</v>
      </c>
    </row>
    <row r="20" spans="1:4" ht="189" x14ac:dyDescent="0.3">
      <c r="A20" s="344">
        <v>42845</v>
      </c>
      <c r="B20" s="345" t="s">
        <v>1103</v>
      </c>
      <c r="C20" s="346" t="s">
        <v>1123</v>
      </c>
      <c r="D20" s="347" t="s">
        <v>1132</v>
      </c>
    </row>
    <row r="21" spans="1:4" ht="121.5" x14ac:dyDescent="0.3">
      <c r="A21" s="344">
        <v>42909</v>
      </c>
      <c r="B21" s="345" t="s">
        <v>1103</v>
      </c>
      <c r="C21" s="346" t="s">
        <v>1133</v>
      </c>
      <c r="D21" s="347" t="s">
        <v>1136</v>
      </c>
    </row>
    <row r="22" spans="1:4" ht="121.5" x14ac:dyDescent="0.3">
      <c r="A22" s="344">
        <v>42978</v>
      </c>
      <c r="B22" s="345" t="s">
        <v>1103</v>
      </c>
      <c r="C22" s="346" t="s">
        <v>1137</v>
      </c>
      <c r="D22" s="347" t="s">
        <v>1139</v>
      </c>
    </row>
    <row r="23" spans="1:4" ht="40.5" x14ac:dyDescent="0.3">
      <c r="A23" s="344">
        <v>42997</v>
      </c>
      <c r="B23" s="345" t="s">
        <v>1103</v>
      </c>
      <c r="C23" s="346" t="s">
        <v>1141</v>
      </c>
      <c r="D23" s="347" t="s">
        <v>1142</v>
      </c>
    </row>
    <row r="24" spans="1:4" ht="94.5" x14ac:dyDescent="0.3">
      <c r="A24" s="344">
        <v>43108</v>
      </c>
      <c r="B24" s="345" t="s">
        <v>1103</v>
      </c>
      <c r="C24" s="346" t="s">
        <v>1160</v>
      </c>
      <c r="D24" s="347" t="s">
        <v>1173</v>
      </c>
    </row>
    <row r="25" spans="1:4" ht="15.75" x14ac:dyDescent="0.3">
      <c r="A25" s="344">
        <v>43111</v>
      </c>
      <c r="B25" s="345" t="s">
        <v>1103</v>
      </c>
      <c r="C25" s="346" t="s">
        <v>1176</v>
      </c>
      <c r="D25" s="347" t="s">
        <v>1177</v>
      </c>
    </row>
    <row r="26" spans="1:4" ht="81" x14ac:dyDescent="0.3">
      <c r="A26" s="344">
        <v>43175</v>
      </c>
      <c r="B26" s="345" t="s">
        <v>1103</v>
      </c>
      <c r="C26" s="346" t="s">
        <v>1178</v>
      </c>
      <c r="D26" s="347" t="s">
        <v>1181</v>
      </c>
    </row>
    <row r="27" spans="1:4" ht="15.75" x14ac:dyDescent="0.3">
      <c r="A27" s="344">
        <v>43272</v>
      </c>
      <c r="B27" s="345" t="s">
        <v>1103</v>
      </c>
      <c r="C27" s="346" t="s">
        <v>1182</v>
      </c>
      <c r="D27" s="347" t="s">
        <v>1184</v>
      </c>
    </row>
    <row r="28" spans="1:4" ht="148.5" x14ac:dyDescent="0.3">
      <c r="A28" s="344">
        <v>43313</v>
      </c>
      <c r="B28" s="345" t="s">
        <v>1103</v>
      </c>
      <c r="C28" s="346" t="s">
        <v>1183</v>
      </c>
      <c r="D28" s="347" t="s">
        <v>1250</v>
      </c>
    </row>
    <row r="29" spans="1:4" ht="54" x14ac:dyDescent="0.3">
      <c r="A29" s="344">
        <v>43434</v>
      </c>
      <c r="B29" s="345" t="s">
        <v>1103</v>
      </c>
      <c r="C29" s="346" t="s">
        <v>1271</v>
      </c>
      <c r="D29" s="347" t="s">
        <v>1290</v>
      </c>
    </row>
    <row r="30" spans="1:4" ht="27" x14ac:dyDescent="0.3">
      <c r="A30" s="344">
        <v>43451</v>
      </c>
      <c r="B30" s="345" t="s">
        <v>1103</v>
      </c>
      <c r="C30" s="346" t="s">
        <v>1291</v>
      </c>
      <c r="D30" s="347" t="s">
        <v>1292</v>
      </c>
    </row>
    <row r="31" spans="1:4" ht="40.5" x14ac:dyDescent="0.3">
      <c r="A31" s="344">
        <v>43525</v>
      </c>
      <c r="B31" s="345" t="s">
        <v>1103</v>
      </c>
      <c r="C31" s="346" t="s">
        <v>1375</v>
      </c>
      <c r="D31" s="347" t="s">
        <v>1389</v>
      </c>
    </row>
    <row r="32" spans="1:4" ht="27" x14ac:dyDescent="0.3">
      <c r="A32" s="344">
        <v>43525</v>
      </c>
      <c r="B32" s="345" t="s">
        <v>1103</v>
      </c>
      <c r="C32" s="346" t="s">
        <v>1514</v>
      </c>
      <c r="D32" s="347" t="s">
        <v>1526</v>
      </c>
    </row>
    <row r="33" spans="1:4" ht="67.5" x14ac:dyDescent="0.3">
      <c r="A33" s="344">
        <v>43536</v>
      </c>
      <c r="B33" s="345" t="s">
        <v>1103</v>
      </c>
      <c r="C33" s="346" t="s">
        <v>1527</v>
      </c>
      <c r="D33" s="347" t="s">
        <v>1528</v>
      </c>
    </row>
    <row r="34" spans="1:4" ht="27" x14ac:dyDescent="0.3">
      <c r="A34" s="344">
        <v>43549</v>
      </c>
      <c r="B34" s="345" t="s">
        <v>1103</v>
      </c>
      <c r="C34" s="346" t="s">
        <v>1529</v>
      </c>
      <c r="D34" s="347" t="s">
        <v>1530</v>
      </c>
    </row>
    <row r="35" spans="1:4" ht="94.5" x14ac:dyDescent="0.3">
      <c r="A35" s="344">
        <v>43567</v>
      </c>
      <c r="B35" s="345" t="s">
        <v>1103</v>
      </c>
      <c r="C35" s="346" t="s">
        <v>1531</v>
      </c>
      <c r="D35" s="347" t="s">
        <v>1535</v>
      </c>
    </row>
    <row r="36" spans="1:4" ht="15.75" x14ac:dyDescent="0.3">
      <c r="A36" s="344">
        <v>43588</v>
      </c>
      <c r="B36" s="345" t="s">
        <v>1103</v>
      </c>
      <c r="C36" s="346" t="s">
        <v>1537</v>
      </c>
      <c r="D36" s="347" t="s">
        <v>1538</v>
      </c>
    </row>
    <row r="37" spans="1:4" ht="148.5" x14ac:dyDescent="0.3">
      <c r="A37" s="344">
        <v>43616</v>
      </c>
      <c r="B37" s="345" t="s">
        <v>1103</v>
      </c>
      <c r="C37" s="346" t="s">
        <v>1549</v>
      </c>
      <c r="D37" s="347" t="s">
        <v>1561</v>
      </c>
    </row>
    <row r="38" spans="1:4" ht="175.5" x14ac:dyDescent="0.3">
      <c r="A38" s="344">
        <v>43707</v>
      </c>
      <c r="B38" s="345" t="s">
        <v>1103</v>
      </c>
      <c r="C38" s="346" t="s">
        <v>1575</v>
      </c>
      <c r="D38" s="347" t="s">
        <v>1591</v>
      </c>
    </row>
    <row r="39" spans="1:4" ht="15.75" x14ac:dyDescent="0.3">
      <c r="A39" s="344">
        <v>43834</v>
      </c>
      <c r="B39" s="345" t="s">
        <v>1103</v>
      </c>
      <c r="C39" s="346" t="s">
        <v>1595</v>
      </c>
      <c r="D39" s="347" t="s">
        <v>1596</v>
      </c>
    </row>
    <row r="40" spans="1:4" ht="229.5" x14ac:dyDescent="0.3">
      <c r="A40" s="344">
        <v>43861</v>
      </c>
      <c r="B40" s="345" t="s">
        <v>1103</v>
      </c>
      <c r="C40" s="346" t="s">
        <v>1593</v>
      </c>
      <c r="D40" s="347" t="s">
        <v>1628</v>
      </c>
    </row>
    <row r="41" spans="1:4" ht="15.75" x14ac:dyDescent="0.3">
      <c r="A41" s="344">
        <v>43899</v>
      </c>
      <c r="B41" s="345" t="s">
        <v>1103</v>
      </c>
      <c r="C41" s="346" t="s">
        <v>1631</v>
      </c>
      <c r="D41" s="347" t="s">
        <v>1632</v>
      </c>
    </row>
    <row r="42" spans="1:4" ht="15.75" x14ac:dyDescent="0.3">
      <c r="A42" s="344">
        <v>43951</v>
      </c>
      <c r="B42" s="345" t="s">
        <v>1103</v>
      </c>
      <c r="C42" s="346" t="s">
        <v>1633</v>
      </c>
      <c r="D42" s="347" t="s">
        <v>1634</v>
      </c>
    </row>
    <row r="43" spans="1:4" ht="40.5" x14ac:dyDescent="0.3">
      <c r="A43" s="344">
        <v>43987</v>
      </c>
      <c r="B43" s="345" t="s">
        <v>1103</v>
      </c>
      <c r="C43" s="346" t="s">
        <v>1635</v>
      </c>
      <c r="D43" s="347" t="s">
        <v>1636</v>
      </c>
    </row>
    <row r="44" spans="1:4" ht="202.5" x14ac:dyDescent="0.3">
      <c r="A44" s="344">
        <v>44013</v>
      </c>
      <c r="B44" s="345" t="s">
        <v>1103</v>
      </c>
      <c r="C44" s="346" t="s">
        <v>1643</v>
      </c>
      <c r="D44" s="348" t="s">
        <v>1734</v>
      </c>
    </row>
    <row r="45" spans="1:4" ht="27" x14ac:dyDescent="0.3">
      <c r="A45" s="344">
        <v>44019</v>
      </c>
      <c r="B45" s="345" t="s">
        <v>1103</v>
      </c>
      <c r="C45" s="346" t="s">
        <v>1737</v>
      </c>
      <c r="D45" s="347" t="s">
        <v>1738</v>
      </c>
    </row>
    <row r="46" spans="1:4" ht="40.5" x14ac:dyDescent="0.3">
      <c r="A46" s="344">
        <v>44053</v>
      </c>
      <c r="B46" s="345" t="s">
        <v>1103</v>
      </c>
      <c r="C46" s="346" t="s">
        <v>1739</v>
      </c>
      <c r="D46" s="347" t="s">
        <v>1740</v>
      </c>
    </row>
    <row r="47" spans="1:4" ht="15.75" x14ac:dyDescent="0.3">
      <c r="A47" s="344">
        <v>44078</v>
      </c>
      <c r="B47" s="345" t="s">
        <v>1103</v>
      </c>
      <c r="C47" s="346" t="s">
        <v>1779</v>
      </c>
      <c r="D47" s="347" t="s">
        <v>1780</v>
      </c>
    </row>
    <row r="48" spans="1:4" ht="15.75" x14ac:dyDescent="0.3">
      <c r="A48" s="344">
        <v>44109</v>
      </c>
      <c r="B48" s="345" t="s">
        <v>1103</v>
      </c>
      <c r="C48" s="346" t="s">
        <v>1815</v>
      </c>
      <c r="D48" s="347" t="s">
        <v>1816</v>
      </c>
    </row>
    <row r="49" spans="1:4" ht="40.5" x14ac:dyDescent="0.3">
      <c r="A49" s="344">
        <v>44126</v>
      </c>
      <c r="B49" s="345" t="s">
        <v>1103</v>
      </c>
      <c r="C49" s="346" t="s">
        <v>1819</v>
      </c>
      <c r="D49" s="347" t="s">
        <v>1825</v>
      </c>
    </row>
    <row r="50" spans="1:4" ht="15.75" x14ac:dyDescent="0.3">
      <c r="A50" s="344">
        <v>44154</v>
      </c>
      <c r="B50" s="345" t="s">
        <v>1103</v>
      </c>
      <c r="C50" s="346" t="s">
        <v>1827</v>
      </c>
      <c r="D50" s="347" t="s">
        <v>1828</v>
      </c>
    </row>
    <row r="51" spans="1:4" ht="15.75" x14ac:dyDescent="0.3">
      <c r="A51" s="344">
        <v>44181</v>
      </c>
      <c r="B51" s="345" t="s">
        <v>1103</v>
      </c>
      <c r="C51" s="346" t="s">
        <v>1829</v>
      </c>
      <c r="D51" s="347" t="s">
        <v>1830</v>
      </c>
    </row>
    <row r="52" spans="1:4" ht="15.75" x14ac:dyDescent="0.3">
      <c r="A52" s="344">
        <v>44200</v>
      </c>
      <c r="B52" s="345" t="s">
        <v>1103</v>
      </c>
      <c r="C52" s="346" t="s">
        <v>1831</v>
      </c>
      <c r="D52" s="347" t="s">
        <v>1832</v>
      </c>
    </row>
    <row r="53" spans="1:4" ht="94.5" x14ac:dyDescent="0.3">
      <c r="A53" s="344">
        <v>44246</v>
      </c>
      <c r="B53" s="345" t="s">
        <v>1103</v>
      </c>
      <c r="C53" s="346" t="s">
        <v>1833</v>
      </c>
      <c r="D53" s="347" t="s">
        <v>1888</v>
      </c>
    </row>
    <row r="54" spans="1:4" ht="15.75" x14ac:dyDescent="0.3">
      <c r="A54" s="20">
        <v>44487</v>
      </c>
      <c r="B54" s="21" t="s">
        <v>1103</v>
      </c>
      <c r="C54" s="22" t="s">
        <v>1779</v>
      </c>
      <c r="D54" s="23" t="s">
        <v>2053</v>
      </c>
    </row>
    <row r="55" spans="1:4" ht="27" x14ac:dyDescent="0.3">
      <c r="A55" s="20">
        <v>44561</v>
      </c>
      <c r="B55" s="21" t="s">
        <v>1103</v>
      </c>
      <c r="C55" s="22" t="s">
        <v>1819</v>
      </c>
      <c r="D55" s="23" t="s">
        <v>2060</v>
      </c>
    </row>
    <row r="56" spans="1:4" ht="27" x14ac:dyDescent="0.3">
      <c r="A56" s="20">
        <v>44599</v>
      </c>
      <c r="B56" s="21" t="s">
        <v>1103</v>
      </c>
      <c r="C56" s="22" t="s">
        <v>1831</v>
      </c>
      <c r="D56" s="23" t="s">
        <v>2061</v>
      </c>
    </row>
    <row r="57" spans="1:4" ht="67.5" x14ac:dyDescent="0.3">
      <c r="A57" s="20">
        <v>44681</v>
      </c>
      <c r="B57" s="21" t="s">
        <v>1103</v>
      </c>
      <c r="C57" s="22" t="s">
        <v>1833</v>
      </c>
      <c r="D57" s="478" t="s">
        <v>2065</v>
      </c>
    </row>
    <row r="58" spans="1:4" ht="15.75" x14ac:dyDescent="0.3">
      <c r="A58" s="20">
        <v>44781</v>
      </c>
      <c r="B58" s="21" t="s">
        <v>1103</v>
      </c>
      <c r="C58" s="22" t="s">
        <v>2066</v>
      </c>
      <c r="D58" s="478" t="s">
        <v>2067</v>
      </c>
    </row>
    <row r="59" spans="1:4" ht="15.75" x14ac:dyDescent="0.3">
      <c r="A59" s="20">
        <v>44824</v>
      </c>
      <c r="B59" s="21" t="s">
        <v>1103</v>
      </c>
      <c r="C59" s="22" t="s">
        <v>2068</v>
      </c>
      <c r="D59" s="478" t="s">
        <v>2069</v>
      </c>
    </row>
    <row r="60" spans="1:4" ht="27" x14ac:dyDescent="0.3">
      <c r="A60" s="20">
        <v>44876</v>
      </c>
      <c r="B60" s="21" t="s">
        <v>1103</v>
      </c>
      <c r="C60" s="22" t="s">
        <v>2075</v>
      </c>
      <c r="D60" s="478" t="s">
        <v>2076</v>
      </c>
    </row>
    <row r="61" spans="1:4" ht="40.5" x14ac:dyDescent="0.3">
      <c r="A61" s="20">
        <v>44926</v>
      </c>
      <c r="B61" s="21" t="s">
        <v>1103</v>
      </c>
      <c r="C61" s="22" t="s">
        <v>2077</v>
      </c>
      <c r="D61" s="478" t="s">
        <v>2081</v>
      </c>
    </row>
    <row r="62" spans="1:4" ht="15.75" x14ac:dyDescent="0.3">
      <c r="A62" s="20">
        <v>45047</v>
      </c>
      <c r="B62" s="21" t="s">
        <v>1103</v>
      </c>
      <c r="C62" s="22" t="s">
        <v>2082</v>
      </c>
      <c r="D62" s="478" t="s">
        <v>2083</v>
      </c>
    </row>
    <row r="63" spans="1:4" ht="27" x14ac:dyDescent="0.3">
      <c r="A63" s="20">
        <v>45108</v>
      </c>
      <c r="B63" s="21" t="s">
        <v>1103</v>
      </c>
      <c r="C63" s="22" t="s">
        <v>2084</v>
      </c>
      <c r="D63" s="478" t="s">
        <v>2085</v>
      </c>
    </row>
    <row r="64" spans="1:4" ht="15.75" x14ac:dyDescent="0.3">
      <c r="A64" s="20">
        <v>45155</v>
      </c>
      <c r="B64" s="21" t="s">
        <v>1103</v>
      </c>
      <c r="C64" s="22" t="s">
        <v>2086</v>
      </c>
      <c r="D64" s="478" t="s">
        <v>2087</v>
      </c>
    </row>
    <row r="65" spans="1:4" ht="27" x14ac:dyDescent="0.3">
      <c r="A65" s="20">
        <v>45186</v>
      </c>
      <c r="B65" s="21" t="s">
        <v>1103</v>
      </c>
      <c r="C65" s="22" t="s">
        <v>2089</v>
      </c>
      <c r="D65" s="478" t="s">
        <v>2090</v>
      </c>
    </row>
    <row r="66" spans="1:4" ht="121.5" x14ac:dyDescent="0.3">
      <c r="A66" s="20">
        <v>45293</v>
      </c>
      <c r="B66" s="21" t="s">
        <v>1103</v>
      </c>
      <c r="C66" s="22" t="s">
        <v>2108</v>
      </c>
      <c r="D66" s="478" t="s">
        <v>2109</v>
      </c>
    </row>
    <row r="67" spans="1:4" ht="15.75" x14ac:dyDescent="0.3">
      <c r="A67" s="20">
        <v>45397</v>
      </c>
      <c r="B67" s="21" t="s">
        <v>1103</v>
      </c>
      <c r="C67" s="22" t="s">
        <v>2112</v>
      </c>
      <c r="D67" s="478" t="s">
        <v>2113</v>
      </c>
    </row>
    <row r="68" spans="1:4" ht="15.75" x14ac:dyDescent="0.3">
      <c r="A68" s="20">
        <v>45488</v>
      </c>
      <c r="B68" s="21" t="s">
        <v>1103</v>
      </c>
      <c r="C68" s="22" t="s">
        <v>2114</v>
      </c>
      <c r="D68" s="478" t="s">
        <v>2113</v>
      </c>
    </row>
    <row r="69" spans="1:4" ht="27" x14ac:dyDescent="0.3">
      <c r="A69" s="20">
        <v>45579</v>
      </c>
      <c r="B69" s="21" t="s">
        <v>1103</v>
      </c>
      <c r="C69" s="22" t="s">
        <v>2142</v>
      </c>
      <c r="D69" s="478" t="s">
        <v>2143</v>
      </c>
    </row>
    <row r="70" spans="1:4" ht="15.75" x14ac:dyDescent="0.3">
      <c r="A70" s="20"/>
      <c r="B70" s="21"/>
      <c r="C70" s="22"/>
      <c r="D70" s="478"/>
    </row>
  </sheetData>
  <sheetProtection algorithmName="SHA-512" hashValue="LE8JKqxeNkOE1EjsJrRS8iqOyv/yaHOZMzwbqwDp2jxdkKA5MrQgcRbnqlIWPUGBY4KV64Q+nhCjqcmXScG6JQ==" saltValue="HD+CvjKkxf6xysQiJbRIUw==" spinCount="100000" sheet="1" objects="1" scenarios="1"/>
  <mergeCells count="1">
    <mergeCell ref="A1:D3"/>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tabColor theme="4" tint="-0.249977111117893"/>
    <pageSetUpPr fitToPage="1"/>
  </sheetPr>
  <dimension ref="A1:CK123"/>
  <sheetViews>
    <sheetView topLeftCell="AL1" zoomScale="85" zoomScaleNormal="85" workbookViewId="0">
      <selection activeCell="BC8" sqref="BC8"/>
    </sheetView>
  </sheetViews>
  <sheetFormatPr defaultColWidth="9.140625" defaultRowHeight="15" x14ac:dyDescent="0.25"/>
  <cols>
    <col min="1" max="1" width="29" style="89" customWidth="1"/>
    <col min="2" max="2" width="97.42578125" style="90" bestFit="1" customWidth="1"/>
    <col min="3" max="3" width="31.85546875" style="89" customWidth="1"/>
    <col min="4" max="4" width="32" style="89" customWidth="1"/>
    <col min="5" max="5" width="27.85546875" style="89" customWidth="1"/>
    <col min="6" max="6" width="32.85546875" style="89" customWidth="1"/>
    <col min="7" max="7" width="15.85546875" style="89" customWidth="1"/>
    <col min="8" max="8" width="24.42578125" style="89" customWidth="1"/>
    <col min="9" max="9" width="18.28515625" style="89" customWidth="1"/>
    <col min="10" max="10" width="18" style="89" customWidth="1"/>
    <col min="11" max="11" width="20.140625" style="90" customWidth="1"/>
    <col min="12" max="12" width="14.42578125" style="89" customWidth="1"/>
    <col min="13" max="13" width="13.5703125" style="91" customWidth="1"/>
    <col min="14" max="14" width="9.42578125" style="89" customWidth="1"/>
    <col min="15" max="15" width="18.85546875" style="89" customWidth="1"/>
    <col min="16" max="16" width="15" style="89" customWidth="1"/>
    <col min="17" max="17" width="22.140625" style="89" customWidth="1"/>
    <col min="18" max="18" width="21" style="89" customWidth="1"/>
    <col min="19" max="19" width="15.140625" style="89" customWidth="1"/>
    <col min="20" max="20" width="14" style="89" customWidth="1"/>
    <col min="21" max="21" width="14.5703125" style="89" customWidth="1"/>
    <col min="22" max="22" width="13" style="89" customWidth="1"/>
    <col min="23" max="23" width="24.7109375" style="89" customWidth="1"/>
    <col min="24" max="24" width="10.28515625" style="89" customWidth="1"/>
    <col min="25" max="25" width="7.85546875" style="89" customWidth="1"/>
    <col min="26" max="26" width="12.140625" style="89" customWidth="1"/>
    <col min="27" max="27" width="17.7109375" style="89" customWidth="1"/>
    <col min="28" max="28" width="17.42578125" style="89" customWidth="1"/>
    <col min="29" max="29" width="34.28515625" style="17" customWidth="1"/>
    <col min="30" max="30" width="13.5703125" style="17" customWidth="1"/>
    <col min="31" max="31" width="19.5703125" style="17" customWidth="1"/>
    <col min="32" max="32" width="14" style="17" customWidth="1"/>
    <col min="33" max="33" width="24" style="17" customWidth="1"/>
    <col min="34" max="34" width="12" style="17" customWidth="1"/>
    <col min="35" max="35" width="10.28515625" style="17" customWidth="1"/>
    <col min="36" max="36" width="13.140625" style="17" customWidth="1"/>
    <col min="37" max="37" width="9.140625" style="17" customWidth="1"/>
    <col min="38" max="38" width="20.85546875" style="17" bestFit="1" customWidth="1"/>
    <col min="39" max="39" width="22.28515625" style="17" bestFit="1" customWidth="1"/>
    <col min="40" max="40" width="19.5703125" style="17" bestFit="1" customWidth="1"/>
    <col min="41" max="41" width="14.5703125" style="17" customWidth="1"/>
    <col min="42" max="42" width="15" style="17" customWidth="1"/>
    <col min="43" max="43" width="9.140625" style="17" customWidth="1"/>
    <col min="44" max="44" width="21.28515625" style="17" customWidth="1"/>
    <col min="45" max="48" width="9.140625" style="17" customWidth="1"/>
    <col min="49" max="50" width="12.5703125" style="17" customWidth="1"/>
    <col min="51" max="51" width="11.42578125" style="17" customWidth="1"/>
    <col min="52" max="52" width="22.140625" style="17" customWidth="1"/>
    <col min="53" max="53" width="35.85546875" style="17" customWidth="1"/>
    <col min="54" max="54" width="24.5703125" style="17" customWidth="1"/>
    <col min="55" max="55" width="30.7109375" style="17" customWidth="1"/>
    <col min="56" max="56" width="24" style="17" customWidth="1"/>
    <col min="57" max="57" width="22.5703125" style="17" customWidth="1"/>
    <col min="58" max="58" width="30.140625" style="17" customWidth="1"/>
    <col min="59" max="59" width="28.7109375" style="17" customWidth="1"/>
    <col min="60" max="61" width="10" style="17" customWidth="1"/>
    <col min="62" max="62" width="5.5703125" style="17" customWidth="1"/>
    <col min="63" max="63" width="22.42578125" style="17" bestFit="1" customWidth="1"/>
    <col min="64" max="64" width="12.5703125" style="17" customWidth="1"/>
    <col min="65" max="65" width="21.85546875" style="17" customWidth="1"/>
    <col min="66" max="66" width="37.28515625" style="17" customWidth="1"/>
    <col min="67" max="68" width="13.5703125" style="17" customWidth="1"/>
    <col min="69" max="69" width="15.140625" style="17" customWidth="1"/>
    <col min="70" max="70" width="12" style="17" customWidth="1"/>
    <col min="71" max="72" width="10" style="17" customWidth="1"/>
    <col min="73" max="73" width="18.42578125" style="17" customWidth="1"/>
    <col min="74" max="77" width="9.140625" style="17" customWidth="1"/>
    <col min="78" max="78" width="17.7109375" customWidth="1"/>
    <col min="79" max="80" width="13.28515625" customWidth="1"/>
    <col min="81" max="82" width="13.42578125" customWidth="1"/>
    <col min="83" max="83" width="16" customWidth="1"/>
    <col min="84" max="85" width="20.140625" customWidth="1"/>
    <col min="88" max="88" width="30.7109375" customWidth="1"/>
  </cols>
  <sheetData>
    <row r="1" spans="1:89" ht="12.75" customHeight="1" x14ac:dyDescent="0.25">
      <c r="A1" s="89" t="s">
        <v>923</v>
      </c>
      <c r="B1" s="89" t="s">
        <v>924</v>
      </c>
      <c r="C1" s="89" t="s">
        <v>925</v>
      </c>
      <c r="D1" s="89" t="s">
        <v>926</v>
      </c>
      <c r="E1" s="89" t="s">
        <v>927</v>
      </c>
      <c r="F1" s="89" t="s">
        <v>95</v>
      </c>
      <c r="G1" s="89" t="s">
        <v>928</v>
      </c>
      <c r="H1" s="89" t="s">
        <v>929</v>
      </c>
      <c r="I1" s="89" t="s">
        <v>96</v>
      </c>
      <c r="J1" s="89" t="s">
        <v>930</v>
      </c>
      <c r="K1" s="90" t="s">
        <v>931</v>
      </c>
      <c r="L1" s="89" t="s">
        <v>99</v>
      </c>
      <c r="M1" s="91" t="s">
        <v>932</v>
      </c>
      <c r="N1" s="89" t="s">
        <v>103</v>
      </c>
      <c r="O1" s="89" t="s">
        <v>613</v>
      </c>
      <c r="P1" s="89" t="s">
        <v>98</v>
      </c>
      <c r="Q1" s="89" t="s">
        <v>101</v>
      </c>
      <c r="R1" s="89" t="s">
        <v>933</v>
      </c>
      <c r="S1" s="89" t="s">
        <v>934</v>
      </c>
      <c r="T1" s="89" t="s">
        <v>935</v>
      </c>
      <c r="U1" s="89" t="s">
        <v>93</v>
      </c>
      <c r="V1" s="89" t="s">
        <v>0</v>
      </c>
      <c r="W1" s="89" t="s">
        <v>936</v>
      </c>
      <c r="X1" s="89" t="s">
        <v>380</v>
      </c>
      <c r="Y1" s="89" t="s">
        <v>102</v>
      </c>
      <c r="Z1" s="89" t="s">
        <v>837</v>
      </c>
      <c r="AA1" s="89" t="s">
        <v>937</v>
      </c>
      <c r="AB1" s="89" t="s">
        <v>71</v>
      </c>
      <c r="AC1" s="16" t="s">
        <v>122</v>
      </c>
      <c r="AD1" s="16" t="s">
        <v>123</v>
      </c>
      <c r="AE1" s="16" t="s">
        <v>126</v>
      </c>
      <c r="AF1" s="16" t="s">
        <v>173</v>
      </c>
      <c r="AG1" s="16" t="s">
        <v>124</v>
      </c>
      <c r="AH1" s="16" t="s">
        <v>125</v>
      </c>
      <c r="AI1" s="16" t="s">
        <v>127</v>
      </c>
      <c r="AJ1" s="16" t="s">
        <v>750</v>
      </c>
      <c r="AK1" s="16"/>
      <c r="AL1" s="141" t="s">
        <v>1143</v>
      </c>
      <c r="AM1" s="141" t="s">
        <v>1039</v>
      </c>
      <c r="AN1" s="141" t="s">
        <v>923</v>
      </c>
      <c r="AO1" s="141" t="s">
        <v>1333</v>
      </c>
      <c r="AP1" s="200" t="s">
        <v>1334</v>
      </c>
      <c r="AQ1" s="200" t="s">
        <v>139</v>
      </c>
      <c r="AR1" s="200" t="s">
        <v>173</v>
      </c>
      <c r="AS1" s="200" t="s">
        <v>140</v>
      </c>
      <c r="AT1" s="200" t="s">
        <v>141</v>
      </c>
      <c r="AU1" s="200" t="s">
        <v>1016</v>
      </c>
      <c r="AV1" s="200" t="s">
        <v>1017</v>
      </c>
      <c r="AW1" s="200" t="s">
        <v>613</v>
      </c>
      <c r="AX1" s="485" t="s">
        <v>2127</v>
      </c>
      <c r="AY1" s="16"/>
      <c r="AZ1" s="138" t="s">
        <v>1143</v>
      </c>
      <c r="BA1" s="138" t="s">
        <v>1039</v>
      </c>
      <c r="BB1" s="138" t="s">
        <v>923</v>
      </c>
      <c r="BC1" s="138" t="s">
        <v>98</v>
      </c>
      <c r="BD1" s="138" t="s">
        <v>139</v>
      </c>
      <c r="BE1" s="138" t="s">
        <v>173</v>
      </c>
      <c r="BF1" s="138" t="s">
        <v>140</v>
      </c>
      <c r="BG1" s="138" t="s">
        <v>1016</v>
      </c>
      <c r="BH1" s="138" t="s">
        <v>1017</v>
      </c>
      <c r="BI1" s="138" t="s">
        <v>613</v>
      </c>
      <c r="BJ1" s="487" t="s">
        <v>2127</v>
      </c>
      <c r="BK1" s="16"/>
      <c r="BL1" s="16"/>
      <c r="BM1" s="138" t="s">
        <v>1143</v>
      </c>
      <c r="BN1" s="138" t="s">
        <v>1039</v>
      </c>
      <c r="BO1" s="138" t="s">
        <v>923</v>
      </c>
      <c r="BP1" s="138" t="s">
        <v>98</v>
      </c>
      <c r="BQ1" s="138" t="s">
        <v>139</v>
      </c>
      <c r="BR1" s="138" t="s">
        <v>173</v>
      </c>
      <c r="BS1" s="138" t="s">
        <v>1155</v>
      </c>
      <c r="BT1" s="138" t="s">
        <v>140</v>
      </c>
      <c r="BU1" s="138" t="s">
        <v>1016</v>
      </c>
      <c r="BV1" s="138" t="s">
        <v>1017</v>
      </c>
      <c r="BW1" s="138" t="s">
        <v>613</v>
      </c>
      <c r="BX1" s="487" t="s">
        <v>2127</v>
      </c>
      <c r="BY1" s="16"/>
      <c r="BZ1" t="s">
        <v>92</v>
      </c>
      <c r="CA1" t="s">
        <v>122</v>
      </c>
      <c r="CB1" t="s">
        <v>123</v>
      </c>
      <c r="CC1" t="s">
        <v>139</v>
      </c>
      <c r="CD1" t="s">
        <v>173</v>
      </c>
      <c r="CE1" t="s">
        <v>94</v>
      </c>
      <c r="CF1" t="s">
        <v>470</v>
      </c>
      <c r="CG1" t="s">
        <v>471</v>
      </c>
      <c r="CH1" t="s">
        <v>97</v>
      </c>
      <c r="CI1" t="s">
        <v>475</v>
      </c>
      <c r="CJ1" t="s">
        <v>705</v>
      </c>
      <c r="CK1" t="s">
        <v>790</v>
      </c>
    </row>
    <row r="2" spans="1:89" ht="12.75" customHeight="1" x14ac:dyDescent="0.25">
      <c r="A2" s="89">
        <v>4100211</v>
      </c>
      <c r="B2" s="90" t="s">
        <v>1407</v>
      </c>
      <c r="C2" s="89" t="s">
        <v>1408</v>
      </c>
      <c r="D2" s="89" t="s">
        <v>113</v>
      </c>
      <c r="E2" s="89" t="s">
        <v>1409</v>
      </c>
      <c r="F2" s="89" t="s">
        <v>1407</v>
      </c>
      <c r="G2" s="89" t="s">
        <v>113</v>
      </c>
      <c r="H2" s="89" t="s">
        <v>957</v>
      </c>
      <c r="I2" s="89" t="s">
        <v>1410</v>
      </c>
      <c r="K2" s="90" t="s">
        <v>1411</v>
      </c>
      <c r="L2" s="89">
        <v>12</v>
      </c>
      <c r="M2" s="91">
        <v>43525</v>
      </c>
      <c r="N2" s="89" t="s">
        <v>1335</v>
      </c>
      <c r="O2" s="89" t="s">
        <v>113</v>
      </c>
      <c r="P2" s="89">
        <v>106</v>
      </c>
      <c r="Q2" s="89">
        <v>1430</v>
      </c>
      <c r="R2" s="89">
        <v>0.22980494189999998</v>
      </c>
      <c r="S2" s="89">
        <v>5.0206733608978142E-2</v>
      </c>
      <c r="T2" s="89">
        <v>369.87890380959647</v>
      </c>
      <c r="U2" s="89" t="s">
        <v>104</v>
      </c>
      <c r="V2" s="89" t="s">
        <v>939</v>
      </c>
      <c r="W2" s="89" t="s">
        <v>945</v>
      </c>
      <c r="X2" s="89" t="s">
        <v>940</v>
      </c>
      <c r="Y2" s="89" t="s">
        <v>107</v>
      </c>
      <c r="Z2" s="89" t="s">
        <v>86</v>
      </c>
      <c r="AA2" s="89">
        <v>1</v>
      </c>
      <c r="AB2" s="89" t="s">
        <v>97</v>
      </c>
      <c r="AC2" s="17" t="s">
        <v>751</v>
      </c>
      <c r="AD2" s="17" t="s">
        <v>754</v>
      </c>
      <c r="AG2" s="17" t="s">
        <v>1338</v>
      </c>
      <c r="AH2" s="17" t="s">
        <v>754</v>
      </c>
      <c r="AL2" s="64" t="s">
        <v>121</v>
      </c>
      <c r="AM2" s="26" t="s">
        <v>1922</v>
      </c>
      <c r="AN2" s="26">
        <v>4060812</v>
      </c>
      <c r="AO2" s="26">
        <v>0.18</v>
      </c>
      <c r="AP2" s="64">
        <v>0.4375</v>
      </c>
      <c r="AQ2" s="64">
        <v>8</v>
      </c>
      <c r="AR2" s="64">
        <v>10</v>
      </c>
      <c r="AS2" s="64">
        <v>5.5</v>
      </c>
      <c r="AT2" s="64"/>
      <c r="AU2" s="64">
        <v>0</v>
      </c>
      <c r="AV2" s="64">
        <v>8760</v>
      </c>
      <c r="AW2" s="199" t="s">
        <v>105</v>
      </c>
      <c r="AX2" s="64">
        <v>0.38</v>
      </c>
      <c r="AZ2" s="64" t="s">
        <v>569</v>
      </c>
      <c r="BA2" s="64" t="s">
        <v>2034</v>
      </c>
      <c r="BB2" s="64">
        <v>4060913</v>
      </c>
      <c r="BC2" s="64">
        <v>0.3</v>
      </c>
      <c r="BD2" s="64">
        <v>0</v>
      </c>
      <c r="BE2" s="64">
        <v>2000</v>
      </c>
      <c r="BF2" s="64">
        <v>1000</v>
      </c>
      <c r="BG2" s="64">
        <v>0</v>
      </c>
      <c r="BH2" s="64">
        <v>8760</v>
      </c>
      <c r="BI2" s="64" t="s">
        <v>105</v>
      </c>
      <c r="BJ2" s="64">
        <v>0.44</v>
      </c>
      <c r="BM2" s="64" t="s">
        <v>1161</v>
      </c>
      <c r="BN2" s="64" t="s">
        <v>1976</v>
      </c>
      <c r="BO2" s="64">
        <v>4060411</v>
      </c>
      <c r="BP2" s="64">
        <v>2</v>
      </c>
      <c r="BQ2" s="64">
        <v>39</v>
      </c>
      <c r="BR2" s="64">
        <v>999</v>
      </c>
      <c r="BS2" s="64">
        <v>1</v>
      </c>
      <c r="BT2" s="64">
        <v>20</v>
      </c>
      <c r="BU2" s="64">
        <v>0</v>
      </c>
      <c r="BV2" s="64">
        <v>8760</v>
      </c>
      <c r="BW2" s="64" t="s">
        <v>105</v>
      </c>
      <c r="BX2" s="488">
        <v>2</v>
      </c>
      <c r="BZ2" t="s">
        <v>478</v>
      </c>
      <c r="CA2" t="s">
        <v>479</v>
      </c>
      <c r="CB2" t="s">
        <v>1213</v>
      </c>
      <c r="CC2">
        <v>28</v>
      </c>
      <c r="CE2" t="s">
        <v>121</v>
      </c>
      <c r="CF2" t="s">
        <v>469</v>
      </c>
      <c r="CG2" t="s">
        <v>472</v>
      </c>
      <c r="CH2" t="s">
        <v>108</v>
      </c>
      <c r="CI2">
        <v>5</v>
      </c>
      <c r="CJ2" t="s">
        <v>706</v>
      </c>
    </row>
    <row r="3" spans="1:89" ht="12.75" customHeight="1" x14ac:dyDescent="0.25">
      <c r="A3" s="89">
        <v>4100212</v>
      </c>
      <c r="B3" s="90" t="s">
        <v>1412</v>
      </c>
      <c r="C3" s="89" t="s">
        <v>1413</v>
      </c>
      <c r="D3" s="89" t="s">
        <v>113</v>
      </c>
      <c r="E3" s="89" t="s">
        <v>1409</v>
      </c>
      <c r="F3" s="89" t="s">
        <v>1412</v>
      </c>
      <c r="G3" s="89" t="s">
        <v>113</v>
      </c>
      <c r="H3" s="89" t="s">
        <v>957</v>
      </c>
      <c r="I3" s="89" t="s">
        <v>1414</v>
      </c>
      <c r="K3" s="90" t="s">
        <v>1415</v>
      </c>
      <c r="L3" s="89">
        <v>12</v>
      </c>
      <c r="M3" s="91">
        <v>43525</v>
      </c>
      <c r="N3" s="89" t="s">
        <v>1335</v>
      </c>
      <c r="O3" s="89" t="s">
        <v>113</v>
      </c>
      <c r="P3" s="89">
        <v>200</v>
      </c>
      <c r="Q3" s="89">
        <v>3186.8</v>
      </c>
      <c r="R3" s="89">
        <v>0.27201955319999999</v>
      </c>
      <c r="S3" s="89">
        <v>7.9840319361277445E-2</v>
      </c>
      <c r="T3" s="89">
        <v>588.19301082507627</v>
      </c>
      <c r="U3" s="89" t="s">
        <v>104</v>
      </c>
      <c r="V3" s="89" t="s">
        <v>939</v>
      </c>
      <c r="W3" s="89" t="s">
        <v>945</v>
      </c>
      <c r="X3" s="89" t="s">
        <v>940</v>
      </c>
      <c r="Y3" s="89" t="s">
        <v>107</v>
      </c>
      <c r="Z3" s="89" t="s">
        <v>86</v>
      </c>
      <c r="AA3" s="89">
        <v>1</v>
      </c>
      <c r="AB3" s="89" t="s">
        <v>97</v>
      </c>
      <c r="AC3" s="17" t="s">
        <v>751</v>
      </c>
      <c r="AD3" s="17" t="s">
        <v>755</v>
      </c>
      <c r="AG3" s="17" t="s">
        <v>1339</v>
      </c>
      <c r="AH3" s="17" t="s">
        <v>755</v>
      </c>
      <c r="AL3" s="64" t="s">
        <v>110</v>
      </c>
      <c r="AM3" s="26" t="s">
        <v>1923</v>
      </c>
      <c r="AN3" s="26">
        <v>4060712</v>
      </c>
      <c r="AO3" s="26">
        <v>0.18</v>
      </c>
      <c r="AP3" s="64">
        <v>0.4375</v>
      </c>
      <c r="AQ3" s="64">
        <v>6</v>
      </c>
      <c r="AR3" s="64">
        <v>9</v>
      </c>
      <c r="AS3" s="64">
        <v>5.5</v>
      </c>
      <c r="AT3" s="64"/>
      <c r="AU3" s="64">
        <v>0</v>
      </c>
      <c r="AV3" s="64">
        <v>8760</v>
      </c>
      <c r="AW3" s="199" t="s">
        <v>105</v>
      </c>
      <c r="AX3" s="64">
        <v>0.38</v>
      </c>
      <c r="AZ3" s="64" t="s">
        <v>569</v>
      </c>
      <c r="BA3" s="64" t="s">
        <v>1954</v>
      </c>
      <c r="BB3" s="64">
        <v>4060912</v>
      </c>
      <c r="BC3" s="64">
        <v>0.35</v>
      </c>
      <c r="BD3" s="64">
        <v>0</v>
      </c>
      <c r="BE3" s="64">
        <v>2000</v>
      </c>
      <c r="BF3" s="64">
        <v>1000</v>
      </c>
      <c r="BG3" s="64">
        <v>0</v>
      </c>
      <c r="BH3" s="64">
        <v>8760</v>
      </c>
      <c r="BI3" s="64" t="s">
        <v>105</v>
      </c>
      <c r="BJ3" s="64">
        <v>0.5</v>
      </c>
      <c r="BM3" s="64" t="s">
        <v>1162</v>
      </c>
      <c r="BN3" s="64" t="s">
        <v>1977</v>
      </c>
      <c r="BO3" s="64">
        <v>4060340</v>
      </c>
      <c r="BP3" s="64">
        <v>2</v>
      </c>
      <c r="BQ3" s="64">
        <v>27</v>
      </c>
      <c r="BR3" s="64">
        <v>999</v>
      </c>
      <c r="BS3" s="64">
        <v>1</v>
      </c>
      <c r="BT3" s="64">
        <v>20</v>
      </c>
      <c r="BU3" s="64">
        <v>0</v>
      </c>
      <c r="BV3" s="64">
        <v>8760</v>
      </c>
      <c r="BW3" s="64" t="s">
        <v>105</v>
      </c>
      <c r="BX3" s="488">
        <v>2</v>
      </c>
      <c r="BZ3" t="s">
        <v>478</v>
      </c>
      <c r="CA3" t="s">
        <v>480</v>
      </c>
      <c r="CB3" t="s">
        <v>1214</v>
      </c>
      <c r="CC3">
        <v>56</v>
      </c>
      <c r="CE3" t="s">
        <v>121</v>
      </c>
      <c r="CF3" t="s">
        <v>469</v>
      </c>
      <c r="CG3" t="s">
        <v>556</v>
      </c>
      <c r="CH3" t="s">
        <v>108</v>
      </c>
      <c r="CI3">
        <v>6</v>
      </c>
      <c r="CJ3" t="s">
        <v>707</v>
      </c>
    </row>
    <row r="4" spans="1:89" ht="12.75" customHeight="1" x14ac:dyDescent="0.25">
      <c r="A4" s="89">
        <v>4100213</v>
      </c>
      <c r="B4" s="90" t="s">
        <v>1416</v>
      </c>
      <c r="C4" s="89" t="s">
        <v>1417</v>
      </c>
      <c r="D4" s="89" t="s">
        <v>113</v>
      </c>
      <c r="E4" s="89" t="s">
        <v>1409</v>
      </c>
      <c r="F4" s="89" t="s">
        <v>1416</v>
      </c>
      <c r="G4" s="89" t="s">
        <v>113</v>
      </c>
      <c r="H4" s="89" t="s">
        <v>957</v>
      </c>
      <c r="I4" s="89" t="s">
        <v>1418</v>
      </c>
      <c r="K4" s="90" t="s">
        <v>1419</v>
      </c>
      <c r="L4" s="89">
        <v>12</v>
      </c>
      <c r="M4" s="91">
        <v>43525</v>
      </c>
      <c r="N4" s="89" t="s">
        <v>1335</v>
      </c>
      <c r="O4" s="89" t="s">
        <v>113</v>
      </c>
      <c r="P4" s="89">
        <v>338</v>
      </c>
      <c r="Q4" s="89">
        <v>5150</v>
      </c>
      <c r="R4" s="89">
        <v>0.52517148269999991</v>
      </c>
      <c r="S4" s="89">
        <v>6.9785474282760399E-2</v>
      </c>
      <c r="T4" s="89">
        <v>514.11778608366546</v>
      </c>
      <c r="U4" s="89" t="s">
        <v>104</v>
      </c>
      <c r="V4" s="89" t="s">
        <v>939</v>
      </c>
      <c r="W4" s="89" t="s">
        <v>945</v>
      </c>
      <c r="X4" s="89" t="s">
        <v>940</v>
      </c>
      <c r="Y4" s="89" t="s">
        <v>107</v>
      </c>
      <c r="Z4" s="89" t="s">
        <v>86</v>
      </c>
      <c r="AA4" s="89">
        <v>1</v>
      </c>
      <c r="AB4" s="89" t="s">
        <v>97</v>
      </c>
      <c r="AC4" s="17" t="s">
        <v>751</v>
      </c>
      <c r="AD4" s="17" t="s">
        <v>756</v>
      </c>
      <c r="AG4" s="17" t="s">
        <v>1340</v>
      </c>
      <c r="AH4" s="17" t="s">
        <v>756</v>
      </c>
      <c r="AL4" s="64" t="s">
        <v>109</v>
      </c>
      <c r="AM4" s="25" t="s">
        <v>1924</v>
      </c>
      <c r="AN4" s="17">
        <v>4060612</v>
      </c>
      <c r="AO4" s="25">
        <v>0.23</v>
      </c>
      <c r="AP4" s="64">
        <v>1.4375</v>
      </c>
      <c r="AQ4" s="64">
        <v>6</v>
      </c>
      <c r="AR4" s="64">
        <v>8</v>
      </c>
      <c r="AS4" s="64">
        <v>3.5</v>
      </c>
      <c r="AT4" s="64"/>
      <c r="AU4" s="64">
        <v>0</v>
      </c>
      <c r="AV4" s="64">
        <v>8760</v>
      </c>
      <c r="AW4" s="199" t="s">
        <v>105</v>
      </c>
      <c r="AX4" s="64">
        <v>0.38</v>
      </c>
      <c r="AZ4" s="64" t="s">
        <v>569</v>
      </c>
      <c r="BA4" s="64" t="s">
        <v>1955</v>
      </c>
      <c r="BB4" s="64">
        <v>4060911</v>
      </c>
      <c r="BC4" s="64">
        <v>0.5</v>
      </c>
      <c r="BD4" s="64">
        <v>0</v>
      </c>
      <c r="BE4" s="64">
        <v>2000</v>
      </c>
      <c r="BF4" s="64">
        <v>1000</v>
      </c>
      <c r="BG4" s="64">
        <v>0</v>
      </c>
      <c r="BH4" s="64">
        <v>8760</v>
      </c>
      <c r="BI4" s="64" t="s">
        <v>105</v>
      </c>
      <c r="BJ4" s="64">
        <v>0.63</v>
      </c>
      <c r="BM4" s="64" t="s">
        <v>1138</v>
      </c>
      <c r="BN4" s="64" t="s">
        <v>1978</v>
      </c>
      <c r="BO4" s="64">
        <v>4060320</v>
      </c>
      <c r="BP4" s="64">
        <v>5.5</v>
      </c>
      <c r="BQ4" s="64">
        <v>34</v>
      </c>
      <c r="BR4" s="64">
        <v>51</v>
      </c>
      <c r="BS4" s="64">
        <v>1</v>
      </c>
      <c r="BT4" s="64">
        <v>13</v>
      </c>
      <c r="BU4" s="64">
        <v>0</v>
      </c>
      <c r="BV4" s="64">
        <v>8760</v>
      </c>
      <c r="BW4" s="64" t="s">
        <v>105</v>
      </c>
      <c r="BX4" s="488">
        <v>5.5</v>
      </c>
      <c r="BZ4" t="s">
        <v>478</v>
      </c>
      <c r="CA4" t="s">
        <v>1187</v>
      </c>
      <c r="CB4" t="s">
        <v>1215</v>
      </c>
      <c r="CC4">
        <v>62</v>
      </c>
      <c r="CE4" t="s">
        <v>121</v>
      </c>
      <c r="CF4" t="s">
        <v>469</v>
      </c>
      <c r="CG4" t="s">
        <v>559</v>
      </c>
      <c r="CH4" t="s">
        <v>108</v>
      </c>
      <c r="CI4">
        <v>7</v>
      </c>
      <c r="CJ4" t="s">
        <v>707</v>
      </c>
    </row>
    <row r="5" spans="1:89" ht="12.75" customHeight="1" x14ac:dyDescent="0.25">
      <c r="A5" s="89">
        <v>4100214</v>
      </c>
      <c r="B5" s="90" t="s">
        <v>1420</v>
      </c>
      <c r="C5" s="89" t="s">
        <v>1421</v>
      </c>
      <c r="D5" s="89" t="s">
        <v>113</v>
      </c>
      <c r="E5" s="89" t="s">
        <v>1409</v>
      </c>
      <c r="F5" s="89" t="s">
        <v>1420</v>
      </c>
      <c r="G5" s="89" t="s">
        <v>113</v>
      </c>
      <c r="H5" s="89" t="s">
        <v>957</v>
      </c>
      <c r="I5" s="89" t="s">
        <v>1422</v>
      </c>
      <c r="K5" s="90" t="s">
        <v>1423</v>
      </c>
      <c r="L5" s="89">
        <v>12</v>
      </c>
      <c r="M5" s="91">
        <v>43525</v>
      </c>
      <c r="N5" s="89" t="s">
        <v>1335</v>
      </c>
      <c r="O5" s="89" t="s">
        <v>113</v>
      </c>
      <c r="P5" s="89">
        <v>534</v>
      </c>
      <c r="Q5" s="89">
        <v>5884.2</v>
      </c>
      <c r="R5" s="89">
        <v>0.96618521939999991</v>
      </c>
      <c r="S5" s="89">
        <v>5.9988760887889854E-2</v>
      </c>
      <c r="T5" s="89">
        <v>441.94424777597675</v>
      </c>
      <c r="U5" s="89" t="s">
        <v>104</v>
      </c>
      <c r="V5" s="89" t="s">
        <v>939</v>
      </c>
      <c r="W5" s="89" t="s">
        <v>945</v>
      </c>
      <c r="X5" s="89" t="s">
        <v>940</v>
      </c>
      <c r="Y5" s="89" t="s">
        <v>107</v>
      </c>
      <c r="Z5" s="89" t="s">
        <v>86</v>
      </c>
      <c r="AA5" s="89">
        <v>1</v>
      </c>
      <c r="AB5" s="89" t="s">
        <v>97</v>
      </c>
      <c r="AC5" s="17" t="s">
        <v>751</v>
      </c>
      <c r="AD5" s="17" t="s">
        <v>757</v>
      </c>
      <c r="AG5" s="17" t="s">
        <v>1341</v>
      </c>
      <c r="AH5" s="17" t="s">
        <v>757</v>
      </c>
      <c r="AL5" s="64" t="s">
        <v>1144</v>
      </c>
      <c r="AM5" s="64" t="s">
        <v>1925</v>
      </c>
      <c r="AN5" s="17">
        <v>4060612</v>
      </c>
      <c r="AO5" s="26">
        <v>0.23</v>
      </c>
      <c r="AP5" s="64">
        <v>1.4375</v>
      </c>
      <c r="AQ5" s="64">
        <v>12</v>
      </c>
      <c r="AR5" s="64">
        <v>14</v>
      </c>
      <c r="AS5" s="64">
        <v>7.5</v>
      </c>
      <c r="AT5" s="64"/>
      <c r="AU5" s="64">
        <v>0</v>
      </c>
      <c r="AV5" s="64">
        <v>8760</v>
      </c>
      <c r="AW5" s="199" t="s">
        <v>105</v>
      </c>
      <c r="AX5" s="205">
        <v>0.23</v>
      </c>
      <c r="AZ5" s="64" t="s">
        <v>569</v>
      </c>
      <c r="BA5" s="64" t="s">
        <v>1956</v>
      </c>
      <c r="BB5" s="64">
        <v>4060910</v>
      </c>
      <c r="BC5" s="64">
        <v>0.6</v>
      </c>
      <c r="BD5" s="64">
        <v>0</v>
      </c>
      <c r="BE5" s="64">
        <v>2000</v>
      </c>
      <c r="BF5" s="64">
        <v>1000</v>
      </c>
      <c r="BG5" s="64">
        <v>0</v>
      </c>
      <c r="BH5" s="64">
        <v>8760</v>
      </c>
      <c r="BI5" s="64" t="s">
        <v>105</v>
      </c>
      <c r="BJ5" s="205">
        <v>0.6</v>
      </c>
      <c r="BM5" s="205" t="s">
        <v>1166</v>
      </c>
      <c r="BN5" s="205" t="s">
        <v>1167</v>
      </c>
      <c r="BO5" s="205"/>
      <c r="BP5" s="205">
        <v>5.5</v>
      </c>
      <c r="BQ5" s="205">
        <v>47</v>
      </c>
      <c r="BR5" s="205">
        <v>999</v>
      </c>
      <c r="BS5" s="205">
        <v>1</v>
      </c>
      <c r="BT5" s="205">
        <v>14</v>
      </c>
      <c r="BU5" s="205">
        <v>0</v>
      </c>
      <c r="BV5" s="205">
        <v>8760</v>
      </c>
      <c r="BW5" s="205" t="s">
        <v>105</v>
      </c>
      <c r="BX5" s="488">
        <v>5.5</v>
      </c>
      <c r="BZ5" t="s">
        <v>478</v>
      </c>
      <c r="CA5" t="s">
        <v>1188</v>
      </c>
      <c r="CB5" t="s">
        <v>1216</v>
      </c>
      <c r="CC5">
        <v>112</v>
      </c>
      <c r="CE5" t="s">
        <v>121</v>
      </c>
      <c r="CF5" t="s">
        <v>469</v>
      </c>
      <c r="CG5" t="s">
        <v>560</v>
      </c>
      <c r="CH5" t="s">
        <v>108</v>
      </c>
      <c r="CI5">
        <v>8</v>
      </c>
      <c r="CJ5" t="s">
        <v>707</v>
      </c>
    </row>
    <row r="6" spans="1:89" ht="12.75" customHeight="1" x14ac:dyDescent="0.25">
      <c r="A6" s="89">
        <v>4100221</v>
      </c>
      <c r="B6" s="90" t="s">
        <v>1424</v>
      </c>
      <c r="C6" s="89" t="s">
        <v>1425</v>
      </c>
      <c r="D6" s="89" t="s">
        <v>113</v>
      </c>
      <c r="E6" s="89" t="s">
        <v>1409</v>
      </c>
      <c r="F6" s="89" t="s">
        <v>1424</v>
      </c>
      <c r="G6" s="89" t="s">
        <v>113</v>
      </c>
      <c r="H6" s="89" t="s">
        <v>957</v>
      </c>
      <c r="I6" s="89" t="s">
        <v>1426</v>
      </c>
      <c r="K6" s="90" t="s">
        <v>1427</v>
      </c>
      <c r="L6" s="89">
        <v>12</v>
      </c>
      <c r="M6" s="91">
        <v>43525</v>
      </c>
      <c r="N6" s="89" t="s">
        <v>1335</v>
      </c>
      <c r="O6" s="89" t="s">
        <v>113</v>
      </c>
      <c r="P6" s="89">
        <v>44</v>
      </c>
      <c r="Q6" s="89">
        <v>348.8</v>
      </c>
      <c r="R6" s="89">
        <v>8.0764288499999989E-2</v>
      </c>
      <c r="S6" s="89">
        <v>5.8823529411764705E-2</v>
      </c>
      <c r="T6" s="89">
        <v>433.359850622593</v>
      </c>
      <c r="U6" s="89" t="s">
        <v>104</v>
      </c>
      <c r="V6" s="89" t="s">
        <v>939</v>
      </c>
      <c r="W6" s="89" t="s">
        <v>945</v>
      </c>
      <c r="X6" s="89" t="s">
        <v>940</v>
      </c>
      <c r="Y6" s="89" t="s">
        <v>107</v>
      </c>
      <c r="Z6" s="89" t="s">
        <v>86</v>
      </c>
      <c r="AA6" s="89">
        <v>1</v>
      </c>
      <c r="AB6" s="89" t="s">
        <v>97</v>
      </c>
      <c r="AC6" s="17" t="s">
        <v>751</v>
      </c>
      <c r="AD6" s="17" t="s">
        <v>754</v>
      </c>
      <c r="AG6" s="17" t="s">
        <v>1342</v>
      </c>
      <c r="AH6" s="17" t="s">
        <v>754</v>
      </c>
      <c r="AL6" s="64" t="s">
        <v>121</v>
      </c>
      <c r="AM6" s="26" t="s">
        <v>1926</v>
      </c>
      <c r="AN6" s="26">
        <v>4060813</v>
      </c>
      <c r="AO6" s="26">
        <v>0.18</v>
      </c>
      <c r="AP6" s="64">
        <v>0.4375</v>
      </c>
      <c r="AQ6" s="64">
        <v>8</v>
      </c>
      <c r="AR6" s="64">
        <v>10</v>
      </c>
      <c r="AS6" s="64">
        <v>5.5</v>
      </c>
      <c r="AT6" s="64"/>
      <c r="AU6" s="64">
        <v>0</v>
      </c>
      <c r="AV6" s="64">
        <v>8760</v>
      </c>
      <c r="AW6" s="199" t="s">
        <v>105</v>
      </c>
      <c r="AX6" s="64">
        <v>0.38</v>
      </c>
      <c r="AZ6" s="64" t="s">
        <v>584</v>
      </c>
      <c r="BA6" s="64" t="s">
        <v>2035</v>
      </c>
      <c r="BB6" s="64">
        <v>4060913</v>
      </c>
      <c r="BC6" s="64">
        <v>0.3</v>
      </c>
      <c r="BD6" s="64">
        <v>0</v>
      </c>
      <c r="BE6" s="64">
        <v>2000</v>
      </c>
      <c r="BF6" s="64">
        <v>1000</v>
      </c>
      <c r="BG6" s="64">
        <v>0</v>
      </c>
      <c r="BH6" s="64">
        <v>8760</v>
      </c>
      <c r="BI6" s="64" t="s">
        <v>105</v>
      </c>
      <c r="BJ6" s="64">
        <v>0.44</v>
      </c>
      <c r="BM6" s="205" t="s">
        <v>1166</v>
      </c>
      <c r="BN6" s="205" t="s">
        <v>1170</v>
      </c>
      <c r="BO6" s="205"/>
      <c r="BP6" s="205">
        <v>5.5</v>
      </c>
      <c r="BQ6" s="205">
        <v>47</v>
      </c>
      <c r="BR6" s="205">
        <v>999</v>
      </c>
      <c r="BS6" s="205">
        <v>1</v>
      </c>
      <c r="BT6" s="205">
        <v>20</v>
      </c>
      <c r="BU6" s="205">
        <v>0</v>
      </c>
      <c r="BV6" s="205">
        <v>8760</v>
      </c>
      <c r="BW6" s="205" t="s">
        <v>105</v>
      </c>
      <c r="BX6" s="488">
        <v>5.5</v>
      </c>
      <c r="BZ6" t="s">
        <v>478</v>
      </c>
      <c r="CA6" t="s">
        <v>481</v>
      </c>
      <c r="CB6" t="s">
        <v>1217</v>
      </c>
      <c r="CC6">
        <v>37</v>
      </c>
      <c r="CE6" t="s">
        <v>121</v>
      </c>
      <c r="CF6" t="s">
        <v>557</v>
      </c>
      <c r="CG6" t="s">
        <v>472</v>
      </c>
      <c r="CH6" t="s">
        <v>108</v>
      </c>
      <c r="CI6">
        <v>9</v>
      </c>
      <c r="CJ6" t="s">
        <v>707</v>
      </c>
    </row>
    <row r="7" spans="1:89" ht="12.75" customHeight="1" x14ac:dyDescent="0.25">
      <c r="A7" s="89">
        <v>4100222</v>
      </c>
      <c r="B7" s="90" t="s">
        <v>1428</v>
      </c>
      <c r="C7" s="89" t="s">
        <v>1429</v>
      </c>
      <c r="D7" s="89" t="s">
        <v>113</v>
      </c>
      <c r="E7" s="89" t="s">
        <v>1409</v>
      </c>
      <c r="F7" s="89" t="s">
        <v>1428</v>
      </c>
      <c r="G7" s="89" t="s">
        <v>113</v>
      </c>
      <c r="H7" s="89" t="s">
        <v>957</v>
      </c>
      <c r="I7" s="89" t="s">
        <v>1430</v>
      </c>
      <c r="K7" s="90" t="s">
        <v>1431</v>
      </c>
      <c r="L7" s="89">
        <v>12</v>
      </c>
      <c r="M7" s="91">
        <v>43525</v>
      </c>
      <c r="N7" s="89" t="s">
        <v>1335</v>
      </c>
      <c r="O7" s="89" t="s">
        <v>113</v>
      </c>
      <c r="P7" s="89">
        <v>88</v>
      </c>
      <c r="Q7" s="89">
        <v>1307.5999999999999</v>
      </c>
      <c r="R7" s="89">
        <v>0.11795658269999999</v>
      </c>
      <c r="S7" s="89">
        <v>8.0552359033371698E-2</v>
      </c>
      <c r="T7" s="89">
        <v>593.43869072599034</v>
      </c>
      <c r="U7" s="89" t="s">
        <v>104</v>
      </c>
      <c r="V7" s="89" t="s">
        <v>939</v>
      </c>
      <c r="W7" s="89" t="s">
        <v>945</v>
      </c>
      <c r="X7" s="89" t="s">
        <v>940</v>
      </c>
      <c r="Y7" s="89" t="s">
        <v>107</v>
      </c>
      <c r="Z7" s="89" t="s">
        <v>86</v>
      </c>
      <c r="AA7" s="89">
        <v>1</v>
      </c>
      <c r="AB7" s="89" t="s">
        <v>97</v>
      </c>
      <c r="AC7" s="17" t="s">
        <v>751</v>
      </c>
      <c r="AD7" s="17" t="s">
        <v>755</v>
      </c>
      <c r="AG7" s="17" t="s">
        <v>1343</v>
      </c>
      <c r="AH7" s="17" t="s">
        <v>755</v>
      </c>
      <c r="AL7" s="64" t="s">
        <v>110</v>
      </c>
      <c r="AM7" s="26" t="s">
        <v>1927</v>
      </c>
      <c r="AN7" s="26">
        <v>4060713</v>
      </c>
      <c r="AO7" s="26">
        <v>0.18</v>
      </c>
      <c r="AP7" s="64">
        <v>0.4375</v>
      </c>
      <c r="AQ7" s="64">
        <v>6</v>
      </c>
      <c r="AR7" s="64">
        <v>9</v>
      </c>
      <c r="AS7" s="64">
        <v>5.5</v>
      </c>
      <c r="AT7" s="64"/>
      <c r="AU7" s="64">
        <v>0</v>
      </c>
      <c r="AV7" s="64">
        <v>8760</v>
      </c>
      <c r="AW7" s="199" t="s">
        <v>105</v>
      </c>
      <c r="AX7" s="64">
        <v>0.38</v>
      </c>
      <c r="AZ7" s="64" t="s">
        <v>584</v>
      </c>
      <c r="BA7" s="64" t="s">
        <v>1957</v>
      </c>
      <c r="BB7" s="64">
        <v>4060912</v>
      </c>
      <c r="BC7" s="64">
        <v>0.35</v>
      </c>
      <c r="BD7" s="64">
        <v>0</v>
      </c>
      <c r="BE7" s="64">
        <v>2000</v>
      </c>
      <c r="BF7" s="64">
        <v>1000</v>
      </c>
      <c r="BG7" s="64">
        <v>0</v>
      </c>
      <c r="BH7" s="64">
        <v>8760</v>
      </c>
      <c r="BI7" s="64" t="s">
        <v>105</v>
      </c>
      <c r="BJ7" s="64">
        <v>0.5</v>
      </c>
      <c r="BM7" s="205" t="s">
        <v>1169</v>
      </c>
      <c r="BN7" s="205" t="s">
        <v>1168</v>
      </c>
      <c r="BO7" s="205"/>
      <c r="BP7" s="205">
        <v>5.5</v>
      </c>
      <c r="BQ7" s="205">
        <v>44</v>
      </c>
      <c r="BR7" s="205">
        <v>999</v>
      </c>
      <c r="BS7" s="205">
        <v>1</v>
      </c>
      <c r="BT7" s="205">
        <v>14</v>
      </c>
      <c r="BU7" s="205">
        <v>0</v>
      </c>
      <c r="BV7" s="205">
        <v>8760</v>
      </c>
      <c r="BW7" s="205" t="s">
        <v>105</v>
      </c>
      <c r="BX7" s="488">
        <v>5.5</v>
      </c>
      <c r="BZ7" t="s">
        <v>478</v>
      </c>
      <c r="CA7" t="s">
        <v>482</v>
      </c>
      <c r="CB7" t="s">
        <v>1218</v>
      </c>
      <c r="CC7">
        <v>74</v>
      </c>
      <c r="CE7" t="s">
        <v>121</v>
      </c>
      <c r="CF7" t="s">
        <v>557</v>
      </c>
      <c r="CG7" t="s">
        <v>556</v>
      </c>
      <c r="CH7" t="s">
        <v>108</v>
      </c>
      <c r="CI7">
        <v>10</v>
      </c>
      <c r="CJ7" t="s">
        <v>707</v>
      </c>
    </row>
    <row r="8" spans="1:89" ht="12.75" customHeight="1" x14ac:dyDescent="0.25">
      <c r="A8" s="89">
        <v>4100223</v>
      </c>
      <c r="B8" s="90" t="s">
        <v>1432</v>
      </c>
      <c r="C8" s="89" t="s">
        <v>1433</v>
      </c>
      <c r="D8" s="89" t="s">
        <v>113</v>
      </c>
      <c r="E8" s="89" t="s">
        <v>1409</v>
      </c>
      <c r="F8" s="89" t="s">
        <v>1432</v>
      </c>
      <c r="G8" s="89" t="s">
        <v>113</v>
      </c>
      <c r="H8" s="89" t="s">
        <v>957</v>
      </c>
      <c r="I8" s="89" t="s">
        <v>1434</v>
      </c>
      <c r="K8" s="90" t="s">
        <v>1419</v>
      </c>
      <c r="L8" s="89">
        <v>12</v>
      </c>
      <c r="M8" s="91">
        <v>43525</v>
      </c>
      <c r="N8" s="89" t="s">
        <v>1335</v>
      </c>
      <c r="O8" s="89" t="s">
        <v>113</v>
      </c>
      <c r="P8" s="89">
        <v>151</v>
      </c>
      <c r="Q8" s="89">
        <v>2403.3000000000002</v>
      </c>
      <c r="R8" s="89">
        <v>0.23455578239999997</v>
      </c>
      <c r="S8" s="89">
        <v>7.0023148148148154E-2</v>
      </c>
      <c r="T8" s="89">
        <v>515.86875736728803</v>
      </c>
      <c r="U8" s="89" t="s">
        <v>104</v>
      </c>
      <c r="V8" s="89" t="s">
        <v>939</v>
      </c>
      <c r="W8" s="89" t="s">
        <v>945</v>
      </c>
      <c r="X8" s="89" t="s">
        <v>940</v>
      </c>
      <c r="Y8" s="89" t="s">
        <v>107</v>
      </c>
      <c r="Z8" s="89" t="s">
        <v>86</v>
      </c>
      <c r="AA8" s="89">
        <v>1</v>
      </c>
      <c r="AB8" s="89" t="s">
        <v>97</v>
      </c>
      <c r="AC8" s="17" t="s">
        <v>751</v>
      </c>
      <c r="AD8" s="17" t="s">
        <v>756</v>
      </c>
      <c r="AG8" s="17" t="s">
        <v>1344</v>
      </c>
      <c r="AH8" s="17" t="s">
        <v>756</v>
      </c>
      <c r="AL8" s="64" t="s">
        <v>109</v>
      </c>
      <c r="AM8" s="26" t="s">
        <v>1928</v>
      </c>
      <c r="AN8" s="26">
        <v>4060613</v>
      </c>
      <c r="AO8" s="26">
        <v>0.23</v>
      </c>
      <c r="AP8" s="64">
        <v>1.4375</v>
      </c>
      <c r="AQ8" s="64">
        <v>6</v>
      </c>
      <c r="AR8" s="64">
        <v>8</v>
      </c>
      <c r="AS8" s="64">
        <v>3.5</v>
      </c>
      <c r="AT8" s="64"/>
      <c r="AU8" s="64">
        <v>0</v>
      </c>
      <c r="AV8" s="64">
        <v>8760</v>
      </c>
      <c r="AW8" s="199" t="s">
        <v>105</v>
      </c>
      <c r="AX8" s="64">
        <v>0.38</v>
      </c>
      <c r="AZ8" s="64" t="s">
        <v>584</v>
      </c>
      <c r="BA8" s="64" t="s">
        <v>1958</v>
      </c>
      <c r="BB8" s="64">
        <v>4060911</v>
      </c>
      <c r="BC8" s="64">
        <v>0.5</v>
      </c>
      <c r="BD8" s="64">
        <v>0</v>
      </c>
      <c r="BE8" s="64">
        <v>2000</v>
      </c>
      <c r="BF8" s="64">
        <v>1000</v>
      </c>
      <c r="BG8" s="64">
        <v>0</v>
      </c>
      <c r="BH8" s="64">
        <v>8760</v>
      </c>
      <c r="BI8" s="64" t="s">
        <v>105</v>
      </c>
      <c r="BJ8" s="64">
        <v>0.63</v>
      </c>
      <c r="BM8" s="205" t="s">
        <v>1169</v>
      </c>
      <c r="BN8" s="205" t="s">
        <v>1171</v>
      </c>
      <c r="BO8" s="205"/>
      <c r="BP8" s="205">
        <v>5.5</v>
      </c>
      <c r="BQ8" s="205">
        <v>44</v>
      </c>
      <c r="BR8" s="205">
        <v>999</v>
      </c>
      <c r="BS8" s="205">
        <v>1</v>
      </c>
      <c r="BT8" s="205">
        <v>20</v>
      </c>
      <c r="BU8" s="205">
        <v>0</v>
      </c>
      <c r="BV8" s="205">
        <v>8760</v>
      </c>
      <c r="BW8" s="205" t="s">
        <v>105</v>
      </c>
      <c r="BX8" s="488">
        <v>5.5</v>
      </c>
      <c r="BZ8" t="s">
        <v>478</v>
      </c>
      <c r="CA8" t="s">
        <v>1189</v>
      </c>
      <c r="CB8" t="s">
        <v>1219</v>
      </c>
      <c r="CC8">
        <v>111</v>
      </c>
      <c r="CE8" t="s">
        <v>121</v>
      </c>
      <c r="CF8" t="s">
        <v>557</v>
      </c>
      <c r="CG8" t="s">
        <v>559</v>
      </c>
      <c r="CH8" t="s">
        <v>108</v>
      </c>
      <c r="CI8">
        <v>11</v>
      </c>
      <c r="CJ8" t="s">
        <v>707</v>
      </c>
    </row>
    <row r="9" spans="1:89" ht="12.75" customHeight="1" x14ac:dyDescent="0.25">
      <c r="A9" s="89">
        <v>4100224</v>
      </c>
      <c r="B9" s="90" t="s">
        <v>1435</v>
      </c>
      <c r="C9" s="89" t="s">
        <v>1436</v>
      </c>
      <c r="D9" s="89" t="s">
        <v>113</v>
      </c>
      <c r="E9" s="89" t="s">
        <v>1409</v>
      </c>
      <c r="F9" s="89" t="s">
        <v>1435</v>
      </c>
      <c r="G9" s="89" t="s">
        <v>113</v>
      </c>
      <c r="H9" s="89" t="s">
        <v>957</v>
      </c>
      <c r="I9" s="89" t="s">
        <v>1437</v>
      </c>
      <c r="K9" s="90" t="s">
        <v>1438</v>
      </c>
      <c r="L9" s="89">
        <v>12</v>
      </c>
      <c r="M9" s="91">
        <v>43525</v>
      </c>
      <c r="N9" s="89" t="s">
        <v>1335</v>
      </c>
      <c r="O9" s="89" t="s">
        <v>113</v>
      </c>
      <c r="P9" s="89">
        <v>281</v>
      </c>
      <c r="Q9" s="89">
        <v>2951.2</v>
      </c>
      <c r="R9" s="89">
        <v>0.50996879309999998</v>
      </c>
      <c r="S9" s="89">
        <v>5.9888208677136012E-2</v>
      </c>
      <c r="T9" s="89">
        <v>441.20346782843171</v>
      </c>
      <c r="U9" s="89" t="s">
        <v>104</v>
      </c>
      <c r="V9" s="89" t="s">
        <v>939</v>
      </c>
      <c r="W9" s="89" t="s">
        <v>945</v>
      </c>
      <c r="X9" s="89" t="s">
        <v>940</v>
      </c>
      <c r="Y9" s="89" t="s">
        <v>107</v>
      </c>
      <c r="Z9" s="89" t="s">
        <v>86</v>
      </c>
      <c r="AA9" s="89">
        <v>1</v>
      </c>
      <c r="AB9" s="89" t="s">
        <v>97</v>
      </c>
      <c r="AC9" s="17" t="s">
        <v>751</v>
      </c>
      <c r="AD9" s="17" t="s">
        <v>757</v>
      </c>
      <c r="AG9" s="17" t="s">
        <v>1345</v>
      </c>
      <c r="AH9" s="17" t="s">
        <v>757</v>
      </c>
      <c r="AL9" s="64" t="s">
        <v>1144</v>
      </c>
      <c r="AM9" s="25" t="s">
        <v>1929</v>
      </c>
      <c r="AN9" s="26">
        <v>4060613</v>
      </c>
      <c r="AO9" s="25">
        <v>0.23</v>
      </c>
      <c r="AP9" s="64">
        <v>1.4375</v>
      </c>
      <c r="AQ9" s="64">
        <v>12</v>
      </c>
      <c r="AR9" s="64">
        <v>14</v>
      </c>
      <c r="AS9" s="64">
        <v>7.5</v>
      </c>
      <c r="AT9" s="64"/>
      <c r="AU9" s="64">
        <v>0</v>
      </c>
      <c r="AV9" s="64">
        <v>8760</v>
      </c>
      <c r="AW9" s="199" t="s">
        <v>105</v>
      </c>
      <c r="AX9" s="205">
        <v>0.23</v>
      </c>
      <c r="AZ9" s="64" t="s">
        <v>584</v>
      </c>
      <c r="BA9" s="64" t="s">
        <v>1959</v>
      </c>
      <c r="BB9" s="64">
        <v>4060910</v>
      </c>
      <c r="BC9" s="64">
        <v>0.6</v>
      </c>
      <c r="BD9" s="64">
        <v>0</v>
      </c>
      <c r="BE9" s="64">
        <v>2000</v>
      </c>
      <c r="BF9" s="64">
        <v>1000</v>
      </c>
      <c r="BG9" s="64">
        <v>0</v>
      </c>
      <c r="BH9" s="64">
        <v>8760</v>
      </c>
      <c r="BI9" s="64" t="s">
        <v>105</v>
      </c>
      <c r="BJ9" s="205">
        <v>0.6</v>
      </c>
      <c r="BM9" s="64" t="s">
        <v>1387</v>
      </c>
      <c r="BN9" s="64" t="s">
        <v>1974</v>
      </c>
      <c r="BO9" s="64">
        <v>4060330</v>
      </c>
      <c r="BP9" s="64">
        <v>5.5</v>
      </c>
      <c r="BQ9" s="64">
        <v>47</v>
      </c>
      <c r="BR9" s="64">
        <v>999</v>
      </c>
      <c r="BS9" s="64">
        <v>1</v>
      </c>
      <c r="BT9" s="64">
        <v>20</v>
      </c>
      <c r="BU9" s="64">
        <v>0</v>
      </c>
      <c r="BV9" s="64">
        <v>8760</v>
      </c>
      <c r="BW9" s="64" t="s">
        <v>105</v>
      </c>
      <c r="BX9" s="488">
        <v>5.5</v>
      </c>
      <c r="BZ9" t="s">
        <v>478</v>
      </c>
      <c r="CA9" t="s">
        <v>1190</v>
      </c>
      <c r="CB9" t="s">
        <v>1220</v>
      </c>
      <c r="CC9">
        <v>148</v>
      </c>
      <c r="CE9" t="s">
        <v>121</v>
      </c>
      <c r="CF9" t="s">
        <v>557</v>
      </c>
      <c r="CG9" t="s">
        <v>560</v>
      </c>
      <c r="CH9" t="s">
        <v>108</v>
      </c>
      <c r="CI9">
        <v>12</v>
      </c>
      <c r="CJ9" t="s">
        <v>707</v>
      </c>
    </row>
    <row r="10" spans="1:89" ht="12.75" customHeight="1" x14ac:dyDescent="0.25">
      <c r="A10" s="89">
        <v>4100101</v>
      </c>
      <c r="B10" s="90" t="s">
        <v>1441</v>
      </c>
      <c r="C10" s="89" t="s">
        <v>955</v>
      </c>
      <c r="D10" s="89" t="s">
        <v>113</v>
      </c>
      <c r="E10" s="89" t="s">
        <v>956</v>
      </c>
      <c r="F10" s="89" t="s">
        <v>956</v>
      </c>
      <c r="G10" s="89" t="s">
        <v>113</v>
      </c>
      <c r="H10" s="89" t="s">
        <v>120</v>
      </c>
      <c r="I10" s="89" t="s">
        <v>120</v>
      </c>
      <c r="K10" s="90" t="s">
        <v>1440</v>
      </c>
      <c r="L10" s="89">
        <v>12</v>
      </c>
      <c r="M10" s="91">
        <v>43525</v>
      </c>
      <c r="N10" s="89" t="s">
        <v>1335</v>
      </c>
      <c r="O10" s="89" t="s">
        <v>113</v>
      </c>
      <c r="P10" s="89">
        <v>85</v>
      </c>
      <c r="Q10" s="89">
        <f>770.9*2</f>
        <v>1541.8</v>
      </c>
      <c r="R10" s="89">
        <v>0.18554068227000001</v>
      </c>
      <c r="S10" s="89">
        <v>4.9743964886613021E-2</v>
      </c>
      <c r="T10" s="89">
        <v>366.49644254862636</v>
      </c>
      <c r="U10" s="89" t="s">
        <v>104</v>
      </c>
      <c r="V10" s="89" t="s">
        <v>939</v>
      </c>
      <c r="W10" s="89" t="s">
        <v>945</v>
      </c>
      <c r="X10" s="89" t="s">
        <v>940</v>
      </c>
      <c r="Y10" s="89" t="s">
        <v>107</v>
      </c>
      <c r="Z10" s="89" t="s">
        <v>86</v>
      </c>
      <c r="AA10" s="89">
        <v>1</v>
      </c>
      <c r="AB10" s="89" t="s">
        <v>1380</v>
      </c>
      <c r="AC10" s="17" t="s">
        <v>753</v>
      </c>
      <c r="AG10" s="17" t="s">
        <v>1337</v>
      </c>
      <c r="AL10" s="64" t="s">
        <v>121</v>
      </c>
      <c r="AM10" s="26" t="s">
        <v>1930</v>
      </c>
      <c r="AN10" s="26">
        <v>4060814</v>
      </c>
      <c r="AO10" s="26">
        <v>0.28000000000000003</v>
      </c>
      <c r="AP10" s="64">
        <v>0.875</v>
      </c>
      <c r="AQ10" s="64">
        <v>8</v>
      </c>
      <c r="AR10" s="64">
        <v>10</v>
      </c>
      <c r="AS10" s="64">
        <v>5.5</v>
      </c>
      <c r="AT10" s="64"/>
      <c r="AU10" s="64">
        <v>0</v>
      </c>
      <c r="AV10" s="64">
        <v>8760</v>
      </c>
      <c r="AW10" s="199" t="s">
        <v>105</v>
      </c>
      <c r="AX10" s="64">
        <v>0.5</v>
      </c>
      <c r="AZ10" s="64" t="s">
        <v>579</v>
      </c>
      <c r="BA10" s="64" t="s">
        <v>2030</v>
      </c>
      <c r="BB10" s="64">
        <v>4060913</v>
      </c>
      <c r="BC10" s="64">
        <v>0.3</v>
      </c>
      <c r="BD10" s="64">
        <v>0</v>
      </c>
      <c r="BE10" s="64">
        <v>2000</v>
      </c>
      <c r="BF10" s="64">
        <v>1000</v>
      </c>
      <c r="BG10" s="64">
        <v>0</v>
      </c>
      <c r="BH10" s="64">
        <v>8760</v>
      </c>
      <c r="BI10" s="64" t="s">
        <v>105</v>
      </c>
      <c r="BJ10" s="64">
        <v>0.44</v>
      </c>
      <c r="BM10" s="64" t="s">
        <v>1387</v>
      </c>
      <c r="BN10" s="64" t="s">
        <v>1974</v>
      </c>
      <c r="BO10" s="64">
        <v>4060330</v>
      </c>
      <c r="BP10" s="64">
        <v>5.5</v>
      </c>
      <c r="BQ10" s="64">
        <v>47</v>
      </c>
      <c r="BR10" s="64">
        <v>999</v>
      </c>
      <c r="BS10" s="64">
        <v>1</v>
      </c>
      <c r="BT10" s="64">
        <v>20</v>
      </c>
      <c r="BU10" s="64">
        <v>0</v>
      </c>
      <c r="BV10" s="64">
        <v>8760</v>
      </c>
      <c r="BW10" s="64" t="s">
        <v>105</v>
      </c>
      <c r="BX10" s="488">
        <v>5.5</v>
      </c>
      <c r="BZ10" t="s">
        <v>478</v>
      </c>
      <c r="CA10" t="s">
        <v>483</v>
      </c>
      <c r="CB10" t="s">
        <v>1221</v>
      </c>
      <c r="CC10">
        <v>48</v>
      </c>
      <c r="CE10" t="s">
        <v>121</v>
      </c>
      <c r="CF10" t="s">
        <v>558</v>
      </c>
      <c r="CG10" t="s">
        <v>472</v>
      </c>
      <c r="CH10" t="s">
        <v>108</v>
      </c>
      <c r="CI10">
        <v>13</v>
      </c>
      <c r="CJ10" t="s">
        <v>707</v>
      </c>
    </row>
    <row r="11" spans="1:89" ht="12.75" customHeight="1" x14ac:dyDescent="0.25">
      <c r="A11" s="89">
        <v>4100102</v>
      </c>
      <c r="B11" s="90" t="s">
        <v>1439</v>
      </c>
      <c r="C11" s="89" t="s">
        <v>955</v>
      </c>
      <c r="D11" s="89" t="s">
        <v>113</v>
      </c>
      <c r="E11" s="89" t="s">
        <v>956</v>
      </c>
      <c r="F11" s="89" t="s">
        <v>956</v>
      </c>
      <c r="G11" s="89" t="s">
        <v>113</v>
      </c>
      <c r="H11" s="89" t="s">
        <v>120</v>
      </c>
      <c r="I11" s="89" t="s">
        <v>120</v>
      </c>
      <c r="K11" s="90" t="s">
        <v>1442</v>
      </c>
      <c r="L11" s="89">
        <v>12</v>
      </c>
      <c r="M11" s="91">
        <v>43525</v>
      </c>
      <c r="N11" s="89" t="s">
        <v>1335</v>
      </c>
      <c r="O11" s="89" t="s">
        <v>113</v>
      </c>
      <c r="P11" s="89">
        <v>63</v>
      </c>
      <c r="Q11" s="89">
        <f>668.1*2</f>
        <v>1336.2</v>
      </c>
      <c r="Z11" s="89" t="s">
        <v>86</v>
      </c>
      <c r="AA11" s="89">
        <v>1</v>
      </c>
      <c r="AB11" s="89" t="s">
        <v>1380</v>
      </c>
      <c r="AC11" s="17" t="s">
        <v>753</v>
      </c>
      <c r="AG11" s="17" t="s">
        <v>1336</v>
      </c>
      <c r="AL11" s="64" t="s">
        <v>110</v>
      </c>
      <c r="AM11" s="26" t="s">
        <v>1931</v>
      </c>
      <c r="AN11" s="26">
        <v>4060714</v>
      </c>
      <c r="AO11" s="26">
        <v>0.28000000000000003</v>
      </c>
      <c r="AP11" s="64">
        <v>0.875</v>
      </c>
      <c r="AQ11" s="64">
        <v>6</v>
      </c>
      <c r="AR11" s="64">
        <v>9</v>
      </c>
      <c r="AS11" s="64">
        <v>5.5</v>
      </c>
      <c r="AT11" s="64"/>
      <c r="AU11" s="64">
        <v>0</v>
      </c>
      <c r="AV11" s="64">
        <v>8760</v>
      </c>
      <c r="AW11" s="199" t="s">
        <v>105</v>
      </c>
      <c r="AX11" s="64">
        <v>0.5</v>
      </c>
      <c r="AZ11" s="64" t="s">
        <v>579</v>
      </c>
      <c r="BA11" s="64" t="s">
        <v>2031</v>
      </c>
      <c r="BB11" s="64">
        <v>4060912</v>
      </c>
      <c r="BC11" s="64">
        <v>0.35</v>
      </c>
      <c r="BD11" s="64">
        <v>0</v>
      </c>
      <c r="BE11" s="64">
        <v>2000</v>
      </c>
      <c r="BF11" s="64">
        <v>1000</v>
      </c>
      <c r="BG11" s="64">
        <v>0</v>
      </c>
      <c r="BH11" s="64">
        <v>8760</v>
      </c>
      <c r="BI11" s="64" t="s">
        <v>105</v>
      </c>
      <c r="BJ11" s="64">
        <v>0.5</v>
      </c>
      <c r="BM11" s="64" t="s">
        <v>1388</v>
      </c>
      <c r="BN11" s="64" t="s">
        <v>1980</v>
      </c>
      <c r="BO11" s="64">
        <v>4060310</v>
      </c>
      <c r="BP11" s="64">
        <v>5.5</v>
      </c>
      <c r="BQ11" s="64">
        <v>44</v>
      </c>
      <c r="BR11" s="64">
        <v>999</v>
      </c>
      <c r="BS11" s="64">
        <v>1</v>
      </c>
      <c r="BT11" s="64">
        <v>14</v>
      </c>
      <c r="BU11" s="64">
        <v>0</v>
      </c>
      <c r="BV11" s="64">
        <v>8760</v>
      </c>
      <c r="BW11" s="64" t="s">
        <v>105</v>
      </c>
      <c r="BX11" s="488">
        <v>5.5</v>
      </c>
      <c r="BZ11" t="s">
        <v>478</v>
      </c>
      <c r="CA11" t="s">
        <v>484</v>
      </c>
      <c r="CB11" t="s">
        <v>1222</v>
      </c>
      <c r="CC11">
        <v>82</v>
      </c>
      <c r="CE11" t="s">
        <v>121</v>
      </c>
      <c r="CF11" t="s">
        <v>558</v>
      </c>
      <c r="CG11" t="s">
        <v>556</v>
      </c>
      <c r="CH11" t="s">
        <v>108</v>
      </c>
      <c r="CI11">
        <v>14</v>
      </c>
      <c r="CJ11" t="s">
        <v>707</v>
      </c>
    </row>
    <row r="12" spans="1:89" ht="12.75" customHeight="1" x14ac:dyDescent="0.25">
      <c r="A12" s="89">
        <v>4100210</v>
      </c>
      <c r="B12" s="90" t="s">
        <v>1443</v>
      </c>
      <c r="C12" s="89" t="s">
        <v>1347</v>
      </c>
      <c r="D12" s="89" t="s">
        <v>113</v>
      </c>
      <c r="E12" s="89" t="s">
        <v>1409</v>
      </c>
      <c r="F12" s="89" t="s">
        <v>1346</v>
      </c>
      <c r="G12" s="89" t="s">
        <v>113</v>
      </c>
      <c r="H12" s="89" t="s">
        <v>957</v>
      </c>
      <c r="I12" s="89" t="s">
        <v>957</v>
      </c>
      <c r="K12" s="90" t="s">
        <v>1509</v>
      </c>
      <c r="L12" s="89">
        <v>12</v>
      </c>
      <c r="M12" s="91">
        <v>43525</v>
      </c>
      <c r="N12" s="89" t="s">
        <v>1335</v>
      </c>
      <c r="O12" s="89" t="s">
        <v>113</v>
      </c>
      <c r="P12" s="89">
        <v>488</v>
      </c>
      <c r="Q12" s="89">
        <v>5265.1</v>
      </c>
      <c r="Z12" s="89" t="s">
        <v>86</v>
      </c>
      <c r="AA12" s="89">
        <v>1</v>
      </c>
      <c r="AB12" s="89" t="s">
        <v>97</v>
      </c>
      <c r="AC12" s="17" t="s">
        <v>751</v>
      </c>
      <c r="AD12" s="17" t="s">
        <v>1354</v>
      </c>
      <c r="AG12" s="17" t="s">
        <v>1348</v>
      </c>
      <c r="AL12" s="64" t="s">
        <v>109</v>
      </c>
      <c r="AM12" s="26" t="s">
        <v>1932</v>
      </c>
      <c r="AN12" s="26">
        <v>4060614</v>
      </c>
      <c r="AO12" s="26">
        <v>0.35</v>
      </c>
      <c r="AP12" s="64">
        <v>2.25</v>
      </c>
      <c r="AQ12" s="64">
        <v>6</v>
      </c>
      <c r="AR12" s="64">
        <v>8</v>
      </c>
      <c r="AS12" s="64">
        <v>3.5</v>
      </c>
      <c r="AT12" s="64"/>
      <c r="AU12" s="64">
        <v>0</v>
      </c>
      <c r="AV12" s="64">
        <v>8760</v>
      </c>
      <c r="AW12" s="199" t="s">
        <v>105</v>
      </c>
      <c r="AX12" s="64">
        <v>0.5</v>
      </c>
      <c r="AZ12" s="64" t="s">
        <v>579</v>
      </c>
      <c r="BA12" s="64" t="s">
        <v>2032</v>
      </c>
      <c r="BB12" s="64">
        <v>4060911</v>
      </c>
      <c r="BC12" s="64">
        <v>0.5</v>
      </c>
      <c r="BD12" s="64">
        <v>0</v>
      </c>
      <c r="BE12" s="64">
        <v>2000</v>
      </c>
      <c r="BF12" s="64">
        <v>1000</v>
      </c>
      <c r="BG12" s="64">
        <v>0</v>
      </c>
      <c r="BH12" s="64">
        <v>8760</v>
      </c>
      <c r="BI12" s="64" t="s">
        <v>105</v>
      </c>
      <c r="BJ12" s="64">
        <v>0.63</v>
      </c>
      <c r="BM12" s="64" t="s">
        <v>1388</v>
      </c>
      <c r="BN12" s="64" t="s">
        <v>1980</v>
      </c>
      <c r="BO12" s="64">
        <v>4060310</v>
      </c>
      <c r="BP12" s="64">
        <v>5.5</v>
      </c>
      <c r="BQ12" s="64">
        <v>44</v>
      </c>
      <c r="BR12" s="64">
        <v>999</v>
      </c>
      <c r="BS12" s="64">
        <v>1</v>
      </c>
      <c r="BT12" s="64">
        <v>14</v>
      </c>
      <c r="BU12" s="64">
        <v>0</v>
      </c>
      <c r="BV12" s="64">
        <v>8760</v>
      </c>
      <c r="BW12" s="64" t="s">
        <v>105</v>
      </c>
      <c r="BX12" s="488">
        <v>5.5</v>
      </c>
      <c r="BZ12" t="s">
        <v>478</v>
      </c>
      <c r="CA12" t="s">
        <v>485</v>
      </c>
      <c r="CB12" t="s">
        <v>1223</v>
      </c>
      <c r="CC12">
        <v>122</v>
      </c>
      <c r="CE12" t="s">
        <v>121</v>
      </c>
      <c r="CF12" t="s">
        <v>558</v>
      </c>
      <c r="CG12" t="s">
        <v>559</v>
      </c>
      <c r="CH12" t="s">
        <v>108</v>
      </c>
      <c r="CI12">
        <v>15</v>
      </c>
      <c r="CJ12" t="s">
        <v>707</v>
      </c>
    </row>
    <row r="13" spans="1:89" ht="12.75" customHeight="1" x14ac:dyDescent="0.25">
      <c r="A13" s="89">
        <v>4100311</v>
      </c>
      <c r="B13" s="90" t="s">
        <v>1444</v>
      </c>
      <c r="C13" s="89" t="s">
        <v>1349</v>
      </c>
      <c r="D13" s="89" t="s">
        <v>113</v>
      </c>
      <c r="E13" s="89" t="s">
        <v>1445</v>
      </c>
      <c r="F13" s="89" t="s">
        <v>1350</v>
      </c>
      <c r="G13" s="89" t="s">
        <v>113</v>
      </c>
      <c r="H13" s="89" t="s">
        <v>957</v>
      </c>
      <c r="I13" s="89" t="s">
        <v>957</v>
      </c>
      <c r="K13" s="90" t="s">
        <v>1446</v>
      </c>
      <c r="L13" s="89">
        <v>12</v>
      </c>
      <c r="M13" s="91">
        <v>43525</v>
      </c>
      <c r="N13" s="89" t="s">
        <v>1335</v>
      </c>
      <c r="O13" s="92" t="s">
        <v>113</v>
      </c>
      <c r="P13" s="92">
        <v>35</v>
      </c>
      <c r="Q13" s="89">
        <v>379.9</v>
      </c>
      <c r="Z13" s="89" t="s">
        <v>86</v>
      </c>
      <c r="AA13" s="89">
        <v>1</v>
      </c>
      <c r="AB13" s="89" t="s">
        <v>97</v>
      </c>
      <c r="AC13" s="17" t="s">
        <v>751</v>
      </c>
      <c r="AD13" s="17" t="s">
        <v>754</v>
      </c>
      <c r="AG13" s="17" t="s">
        <v>1351</v>
      </c>
      <c r="AL13" s="64" t="s">
        <v>1144</v>
      </c>
      <c r="AM13" s="25" t="s">
        <v>1933</v>
      </c>
      <c r="AN13" s="26">
        <v>4060614</v>
      </c>
      <c r="AO13" s="25">
        <v>0.35</v>
      </c>
      <c r="AP13" s="64">
        <v>2.25</v>
      </c>
      <c r="AQ13" s="64">
        <v>12</v>
      </c>
      <c r="AR13" s="64">
        <v>14</v>
      </c>
      <c r="AS13" s="64">
        <v>7.5</v>
      </c>
      <c r="AT13" s="64"/>
      <c r="AU13" s="64">
        <v>0</v>
      </c>
      <c r="AV13" s="64">
        <v>8760</v>
      </c>
      <c r="AW13" s="199" t="s">
        <v>105</v>
      </c>
      <c r="AX13" s="205">
        <v>0.35</v>
      </c>
      <c r="AZ13" s="64" t="s">
        <v>579</v>
      </c>
      <c r="BA13" s="64" t="s">
        <v>2033</v>
      </c>
      <c r="BB13" s="64">
        <v>4060910</v>
      </c>
      <c r="BC13" s="64">
        <v>0.6</v>
      </c>
      <c r="BD13" s="64">
        <v>0</v>
      </c>
      <c r="BE13" s="64">
        <v>2000</v>
      </c>
      <c r="BF13" s="64">
        <v>1000</v>
      </c>
      <c r="BG13" s="64">
        <v>0</v>
      </c>
      <c r="BH13" s="64">
        <v>8760</v>
      </c>
      <c r="BI13" s="64" t="s">
        <v>105</v>
      </c>
      <c r="BJ13" s="205">
        <v>0.6</v>
      </c>
      <c r="BM13" s="64" t="s">
        <v>1159</v>
      </c>
      <c r="BN13" s="64" t="s">
        <v>1964</v>
      </c>
      <c r="BO13" s="64">
        <v>4060410</v>
      </c>
      <c r="BP13" s="64">
        <v>16</v>
      </c>
      <c r="BQ13" s="64">
        <v>1</v>
      </c>
      <c r="BR13" s="64">
        <v>50</v>
      </c>
      <c r="BS13" s="64">
        <v>0</v>
      </c>
      <c r="BT13" s="64">
        <v>5</v>
      </c>
      <c r="BU13" s="64">
        <v>8500</v>
      </c>
      <c r="BV13" s="64">
        <v>8760</v>
      </c>
      <c r="BW13" s="64" t="s">
        <v>105</v>
      </c>
      <c r="BX13" s="64">
        <v>20</v>
      </c>
      <c r="BZ13" t="s">
        <v>478</v>
      </c>
      <c r="CA13" t="s">
        <v>486</v>
      </c>
      <c r="CB13" t="s">
        <v>659</v>
      </c>
      <c r="CC13">
        <v>164</v>
      </c>
      <c r="CE13" t="s">
        <v>121</v>
      </c>
      <c r="CF13" t="s">
        <v>558</v>
      </c>
      <c r="CG13" t="s">
        <v>560</v>
      </c>
      <c r="CH13" t="s">
        <v>108</v>
      </c>
      <c r="CI13">
        <v>16</v>
      </c>
      <c r="CJ13" t="s">
        <v>707</v>
      </c>
    </row>
    <row r="14" spans="1:89" ht="12.75" customHeight="1" x14ac:dyDescent="0.25">
      <c r="A14" s="89">
        <v>4100310</v>
      </c>
      <c r="B14" s="90" t="s">
        <v>1447</v>
      </c>
      <c r="C14" s="89" t="s">
        <v>1352</v>
      </c>
      <c r="D14" s="89" t="s">
        <v>113</v>
      </c>
      <c r="E14" s="89" t="s">
        <v>1445</v>
      </c>
      <c r="F14" s="89" t="s">
        <v>1353</v>
      </c>
      <c r="G14" s="89" t="s">
        <v>113</v>
      </c>
      <c r="H14" s="89" t="s">
        <v>957</v>
      </c>
      <c r="I14" s="89" t="s">
        <v>957</v>
      </c>
      <c r="K14" s="90" t="s">
        <v>1448</v>
      </c>
      <c r="L14" s="89">
        <v>12</v>
      </c>
      <c r="M14" s="91">
        <v>43525</v>
      </c>
      <c r="N14" s="89" t="s">
        <v>1335</v>
      </c>
      <c r="O14" s="92" t="s">
        <v>113</v>
      </c>
      <c r="P14" s="92">
        <v>113</v>
      </c>
      <c r="Q14" s="89">
        <v>1219.9000000000001</v>
      </c>
      <c r="Z14" s="89" t="s">
        <v>86</v>
      </c>
      <c r="AA14" s="89">
        <v>1</v>
      </c>
      <c r="AB14" s="89" t="s">
        <v>97</v>
      </c>
      <c r="AC14" s="17" t="s">
        <v>751</v>
      </c>
      <c r="AD14" s="17" t="s">
        <v>1354</v>
      </c>
      <c r="AG14" s="17" t="s">
        <v>1355</v>
      </c>
      <c r="AL14" s="64" t="s">
        <v>121</v>
      </c>
      <c r="AM14" s="26" t="s">
        <v>1934</v>
      </c>
      <c r="AN14" s="26">
        <v>4060815</v>
      </c>
      <c r="AO14" s="26">
        <v>0.28000000000000003</v>
      </c>
      <c r="AP14" s="64">
        <v>0.875</v>
      </c>
      <c r="AQ14" s="64">
        <v>8</v>
      </c>
      <c r="AR14" s="64">
        <v>10</v>
      </c>
      <c r="AS14" s="64">
        <v>5.5</v>
      </c>
      <c r="AT14" s="64"/>
      <c r="AU14" s="64">
        <v>0</v>
      </c>
      <c r="AV14" s="64">
        <v>8760</v>
      </c>
      <c r="AW14" s="199" t="s">
        <v>105</v>
      </c>
      <c r="AX14" s="64">
        <v>0.5</v>
      </c>
      <c r="AZ14" s="64"/>
      <c r="BA14" s="64"/>
      <c r="BB14" s="201"/>
      <c r="BC14" s="64" t="e">
        <v>#N/A</v>
      </c>
      <c r="BD14" s="64">
        <v>0</v>
      </c>
      <c r="BE14" s="64">
        <v>2000</v>
      </c>
      <c r="BF14" s="64">
        <v>1000</v>
      </c>
      <c r="BG14" s="64">
        <v>0</v>
      </c>
      <c r="BH14" s="64">
        <v>8760</v>
      </c>
      <c r="BI14" s="64" t="s">
        <v>105</v>
      </c>
      <c r="BJ14" s="64"/>
      <c r="BM14" s="64" t="s">
        <v>2105</v>
      </c>
      <c r="BN14" s="64" t="s">
        <v>2106</v>
      </c>
      <c r="BO14" s="64">
        <v>4060510</v>
      </c>
      <c r="BP14" s="64">
        <v>16</v>
      </c>
      <c r="BQ14" s="64">
        <v>1</v>
      </c>
      <c r="BR14" s="64">
        <v>50</v>
      </c>
      <c r="BS14" s="64">
        <v>0</v>
      </c>
      <c r="BT14" s="64">
        <v>5</v>
      </c>
      <c r="BU14" s="64">
        <v>8500</v>
      </c>
      <c r="BV14" s="64">
        <v>8760</v>
      </c>
      <c r="BW14" s="64" t="s">
        <v>105</v>
      </c>
      <c r="BX14" s="64">
        <v>20</v>
      </c>
      <c r="BZ14" t="s">
        <v>478</v>
      </c>
      <c r="CA14" t="s">
        <v>1288</v>
      </c>
      <c r="CB14" t="s">
        <v>1224</v>
      </c>
      <c r="CC14">
        <v>258</v>
      </c>
      <c r="CE14" t="s">
        <v>121</v>
      </c>
      <c r="CF14" t="s">
        <v>558</v>
      </c>
      <c r="CG14" t="s">
        <v>1128</v>
      </c>
      <c r="CH14" t="s">
        <v>108</v>
      </c>
      <c r="CI14">
        <v>17</v>
      </c>
      <c r="CJ14" t="s">
        <v>707</v>
      </c>
    </row>
    <row r="15" spans="1:89" ht="12.75" customHeight="1" x14ac:dyDescent="0.25">
      <c r="A15" s="89">
        <v>4100410</v>
      </c>
      <c r="B15" s="90" t="s">
        <v>1598</v>
      </c>
      <c r="C15" s="89" t="s">
        <v>1599</v>
      </c>
      <c r="D15" s="89" t="s">
        <v>113</v>
      </c>
      <c r="E15" s="89" t="s">
        <v>1597</v>
      </c>
      <c r="F15" s="89" t="s">
        <v>1600</v>
      </c>
      <c r="G15" s="89" t="s">
        <v>113</v>
      </c>
      <c r="H15" s="89" t="s">
        <v>1601</v>
      </c>
      <c r="I15" s="89" t="s">
        <v>1601</v>
      </c>
      <c r="K15" s="90" t="s">
        <v>1615</v>
      </c>
      <c r="L15" s="89">
        <v>15</v>
      </c>
      <c r="M15" s="91">
        <v>43862</v>
      </c>
      <c r="N15" s="89" t="s">
        <v>1335</v>
      </c>
      <c r="O15" s="92" t="s">
        <v>424</v>
      </c>
      <c r="P15" s="92">
        <v>106</v>
      </c>
      <c r="Q15" s="89">
        <v>1409</v>
      </c>
      <c r="Z15" s="89" t="s">
        <v>86</v>
      </c>
      <c r="AA15" s="89">
        <v>1</v>
      </c>
      <c r="AB15" s="89" t="s">
        <v>1602</v>
      </c>
      <c r="AC15" s="17" t="s">
        <v>1603</v>
      </c>
      <c r="AG15" s="17" t="s">
        <v>1598</v>
      </c>
      <c r="AL15" s="64" t="s">
        <v>110</v>
      </c>
      <c r="AM15" s="26" t="s">
        <v>1935</v>
      </c>
      <c r="AN15" s="26">
        <v>4060715</v>
      </c>
      <c r="AO15" s="26">
        <v>0.28000000000000003</v>
      </c>
      <c r="AP15" s="64">
        <v>0.875</v>
      </c>
      <c r="AQ15" s="64">
        <v>6</v>
      </c>
      <c r="AR15" s="64">
        <v>9</v>
      </c>
      <c r="AS15" s="64">
        <v>5.5</v>
      </c>
      <c r="AT15" s="64"/>
      <c r="AU15" s="64">
        <v>0</v>
      </c>
      <c r="AV15" s="64">
        <v>8760</v>
      </c>
      <c r="AW15" s="199" t="s">
        <v>105</v>
      </c>
      <c r="AX15" s="64">
        <v>0.5</v>
      </c>
      <c r="BD15" s="64"/>
      <c r="BE15" s="64"/>
      <c r="BF15" s="64"/>
      <c r="BG15" s="64"/>
      <c r="BM15" s="486"/>
      <c r="BN15" s="486"/>
      <c r="BO15" s="486"/>
      <c r="BP15" s="486"/>
      <c r="BQ15" s="486"/>
      <c r="BR15" s="486"/>
      <c r="BS15" s="486"/>
      <c r="BT15" s="486"/>
      <c r="BU15" s="486"/>
      <c r="BV15" s="486"/>
      <c r="BW15" s="486"/>
      <c r="BX15" s="64"/>
      <c r="BZ15" t="s">
        <v>478</v>
      </c>
      <c r="CA15" t="s">
        <v>1272</v>
      </c>
      <c r="CB15" t="s">
        <v>1274</v>
      </c>
      <c r="CC15">
        <v>72</v>
      </c>
      <c r="CE15" t="s">
        <v>121</v>
      </c>
      <c r="CF15" t="s">
        <v>1258</v>
      </c>
      <c r="CG15" t="s">
        <v>472</v>
      </c>
      <c r="CH15" t="s">
        <v>108</v>
      </c>
      <c r="CI15">
        <v>18</v>
      </c>
      <c r="CJ15" t="s">
        <v>1207</v>
      </c>
    </row>
    <row r="16" spans="1:89" ht="12.75" customHeight="1" x14ac:dyDescent="0.25">
      <c r="O16" s="92"/>
      <c r="P16" s="92"/>
      <c r="AL16" s="64" t="s">
        <v>109</v>
      </c>
      <c r="AM16" s="26" t="s">
        <v>1936</v>
      </c>
      <c r="AN16" s="26">
        <v>4060615</v>
      </c>
      <c r="AO16" s="26">
        <v>0.35</v>
      </c>
      <c r="AP16" s="64">
        <v>2.25</v>
      </c>
      <c r="AQ16" s="64">
        <v>6</v>
      </c>
      <c r="AR16" s="64">
        <v>8</v>
      </c>
      <c r="AS16" s="64">
        <v>3.5</v>
      </c>
      <c r="AT16" s="64"/>
      <c r="AU16" s="64">
        <v>0</v>
      </c>
      <c r="AV16" s="64">
        <v>8760</v>
      </c>
      <c r="AW16" s="199" t="s">
        <v>105</v>
      </c>
      <c r="AX16" s="64">
        <v>0.5</v>
      </c>
      <c r="AZ16" s="177" t="s">
        <v>569</v>
      </c>
      <c r="BA16" s="177" t="s">
        <v>576</v>
      </c>
      <c r="BB16" s="177" t="s">
        <v>584</v>
      </c>
      <c r="BC16" s="177" t="s">
        <v>2029</v>
      </c>
      <c r="BD16" s="64"/>
      <c r="BE16" s="64"/>
      <c r="BF16" s="64"/>
      <c r="BG16" s="64"/>
      <c r="BM16" s="17" t="s">
        <v>1157</v>
      </c>
      <c r="BN16" s="17" t="s">
        <v>1156</v>
      </c>
      <c r="BO16" s="17" t="s">
        <v>1158</v>
      </c>
      <c r="BZ16" t="s">
        <v>478</v>
      </c>
      <c r="CA16" t="s">
        <v>1273</v>
      </c>
      <c r="CB16" t="s">
        <v>1275</v>
      </c>
      <c r="CC16">
        <v>111</v>
      </c>
      <c r="CE16" t="s">
        <v>121</v>
      </c>
      <c r="CF16" t="s">
        <v>1258</v>
      </c>
      <c r="CG16" t="s">
        <v>556</v>
      </c>
      <c r="CH16" t="s">
        <v>108</v>
      </c>
      <c r="CI16">
        <v>19</v>
      </c>
      <c r="CJ16" t="s">
        <v>1207</v>
      </c>
    </row>
    <row r="17" spans="1:88" ht="12.75" customHeight="1" x14ac:dyDescent="0.25">
      <c r="A17" s="89" t="s">
        <v>923</v>
      </c>
      <c r="B17" s="89" t="s">
        <v>924</v>
      </c>
      <c r="C17" s="89" t="s">
        <v>925</v>
      </c>
      <c r="D17" s="89" t="s">
        <v>926</v>
      </c>
      <c r="E17" s="89" t="s">
        <v>927</v>
      </c>
      <c r="F17" s="89" t="s">
        <v>95</v>
      </c>
      <c r="G17" s="89" t="s">
        <v>928</v>
      </c>
      <c r="H17" s="89" t="s">
        <v>929</v>
      </c>
      <c r="I17" s="89" t="s">
        <v>96</v>
      </c>
      <c r="J17" s="89" t="s">
        <v>930</v>
      </c>
      <c r="K17" s="90" t="s">
        <v>931</v>
      </c>
      <c r="L17" s="89" t="s">
        <v>99</v>
      </c>
      <c r="M17" s="91" t="s">
        <v>932</v>
      </c>
      <c r="N17" s="89" t="s">
        <v>103</v>
      </c>
      <c r="O17" s="89" t="s">
        <v>613</v>
      </c>
      <c r="P17" s="89" t="s">
        <v>98</v>
      </c>
      <c r="Q17" s="89" t="s">
        <v>101</v>
      </c>
      <c r="R17" s="89" t="s">
        <v>933</v>
      </c>
      <c r="S17" s="89" t="s">
        <v>934</v>
      </c>
      <c r="T17" s="89" t="s">
        <v>935</v>
      </c>
      <c r="U17" s="89" t="s">
        <v>93</v>
      </c>
      <c r="V17" s="89" t="s">
        <v>0</v>
      </c>
      <c r="W17" s="89" t="s">
        <v>936</v>
      </c>
      <c r="X17" s="89" t="s">
        <v>380</v>
      </c>
      <c r="Y17" s="89" t="s">
        <v>102</v>
      </c>
      <c r="Z17" s="89" t="s">
        <v>837</v>
      </c>
      <c r="AA17" s="89" t="s">
        <v>937</v>
      </c>
      <c r="AB17" s="89" t="s">
        <v>71</v>
      </c>
      <c r="AC17" s="16" t="s">
        <v>122</v>
      </c>
      <c r="AD17" s="16" t="s">
        <v>123</v>
      </c>
      <c r="AE17" s="16" t="s">
        <v>126</v>
      </c>
      <c r="AF17" s="16" t="s">
        <v>173</v>
      </c>
      <c r="AG17" s="16" t="s">
        <v>124</v>
      </c>
      <c r="AH17" s="16" t="s">
        <v>125</v>
      </c>
      <c r="AI17" s="16" t="s">
        <v>127</v>
      </c>
      <c r="AJ17" s="16" t="s">
        <v>750</v>
      </c>
      <c r="AL17" s="64" t="s">
        <v>1144</v>
      </c>
      <c r="AM17" s="25" t="s">
        <v>1937</v>
      </c>
      <c r="AN17" s="26">
        <v>4060615</v>
      </c>
      <c r="AO17" s="25">
        <v>0.35</v>
      </c>
      <c r="AP17" s="64">
        <v>2.25</v>
      </c>
      <c r="AQ17" s="64">
        <v>12</v>
      </c>
      <c r="AR17" s="64">
        <v>14</v>
      </c>
      <c r="AS17" s="64">
        <v>7.5</v>
      </c>
      <c r="AT17" s="64"/>
      <c r="AU17" s="64">
        <v>0</v>
      </c>
      <c r="AV17" s="64">
        <v>8760</v>
      </c>
      <c r="AW17" s="199" t="s">
        <v>105</v>
      </c>
      <c r="AX17" s="205">
        <v>0.35</v>
      </c>
      <c r="AZ17" s="17" t="s">
        <v>1982</v>
      </c>
      <c r="BA17" s="64" t="s">
        <v>1993</v>
      </c>
      <c r="BB17" s="17" t="s">
        <v>2002</v>
      </c>
      <c r="BC17" s="64" t="s">
        <v>2010</v>
      </c>
      <c r="BD17" s="64"/>
      <c r="BE17" s="64"/>
      <c r="BF17" s="64"/>
      <c r="BG17" s="64"/>
      <c r="BM17" s="17" t="s">
        <v>1975</v>
      </c>
      <c r="BN17" s="17" t="s">
        <v>1905</v>
      </c>
      <c r="BO17" s="17" t="s">
        <v>1157</v>
      </c>
      <c r="BZ17" t="s">
        <v>478</v>
      </c>
      <c r="CA17" t="s">
        <v>1251</v>
      </c>
      <c r="CB17" t="s">
        <v>1253</v>
      </c>
      <c r="CC17">
        <v>80</v>
      </c>
      <c r="CE17" t="s">
        <v>121</v>
      </c>
      <c r="CF17" t="s">
        <v>1255</v>
      </c>
      <c r="CG17" t="s">
        <v>472</v>
      </c>
      <c r="CH17" t="s">
        <v>108</v>
      </c>
      <c r="CI17">
        <v>20</v>
      </c>
      <c r="CJ17" t="s">
        <v>1207</v>
      </c>
    </row>
    <row r="18" spans="1:88" ht="12.75" customHeight="1" x14ac:dyDescent="0.25">
      <c r="A18" s="89">
        <v>4120211</v>
      </c>
      <c r="B18" s="90" t="s">
        <v>1449</v>
      </c>
      <c r="C18" s="89" t="s">
        <v>941</v>
      </c>
      <c r="D18" s="89" t="s">
        <v>176</v>
      </c>
      <c r="E18" s="89" t="s">
        <v>629</v>
      </c>
      <c r="F18" s="89" t="s">
        <v>942</v>
      </c>
      <c r="G18" s="89" t="s">
        <v>176</v>
      </c>
      <c r="H18" s="89" t="s">
        <v>943</v>
      </c>
      <c r="I18" s="89" t="s">
        <v>944</v>
      </c>
      <c r="K18" s="90" t="s">
        <v>1450</v>
      </c>
      <c r="L18" s="89">
        <v>15</v>
      </c>
      <c r="M18" s="91">
        <v>42456</v>
      </c>
      <c r="N18" s="89" t="s">
        <v>938</v>
      </c>
      <c r="O18" s="89" t="s">
        <v>176</v>
      </c>
      <c r="P18" s="89">
        <v>1321</v>
      </c>
      <c r="Q18" s="89">
        <v>21156</v>
      </c>
      <c r="R18" s="89">
        <v>3.8325046020000002</v>
      </c>
      <c r="S18" s="89">
        <v>4.9962185668368311E-2</v>
      </c>
      <c r="T18" s="89">
        <v>275.7987555835947</v>
      </c>
      <c r="U18" s="89" t="s">
        <v>104</v>
      </c>
      <c r="V18" s="89" t="s">
        <v>939</v>
      </c>
      <c r="W18" s="89" t="s">
        <v>945</v>
      </c>
      <c r="X18" s="89" t="s">
        <v>940</v>
      </c>
      <c r="Y18" s="89" t="s">
        <v>107</v>
      </c>
      <c r="Z18" s="89" t="s">
        <v>86</v>
      </c>
      <c r="AA18" s="89">
        <v>1</v>
      </c>
      <c r="AB18" s="89" t="s">
        <v>97</v>
      </c>
      <c r="AC18" s="89" t="s">
        <v>943</v>
      </c>
      <c r="AG18" s="89" t="s">
        <v>964</v>
      </c>
      <c r="AL18" s="64" t="s">
        <v>121</v>
      </c>
      <c r="AM18" s="26" t="s">
        <v>1938</v>
      </c>
      <c r="AN18" s="26">
        <v>4060811</v>
      </c>
      <c r="AO18" s="26">
        <v>0.4</v>
      </c>
      <c r="AP18" s="64">
        <v>0.4</v>
      </c>
      <c r="AQ18" s="64">
        <v>8</v>
      </c>
      <c r="AR18" s="64">
        <v>10</v>
      </c>
      <c r="AS18" s="64">
        <v>5.5</v>
      </c>
      <c r="AT18" s="64"/>
      <c r="AU18" s="64">
        <v>0</v>
      </c>
      <c r="AV18" s="64">
        <v>8760</v>
      </c>
      <c r="AW18" s="199" t="s">
        <v>105</v>
      </c>
      <c r="AX18" s="64">
        <v>0.55000000000000004</v>
      </c>
      <c r="AZ18" s="17" t="s">
        <v>1983</v>
      </c>
      <c r="BA18" s="17" t="s">
        <v>1994</v>
      </c>
      <c r="BB18" s="17" t="s">
        <v>2003</v>
      </c>
      <c r="BC18" s="64" t="s">
        <v>2011</v>
      </c>
      <c r="BD18" s="64"/>
      <c r="BE18" s="64"/>
      <c r="BF18" s="64"/>
      <c r="BG18" s="64"/>
      <c r="BN18" s="17" t="s">
        <v>1904</v>
      </c>
      <c r="BO18" s="17" t="s">
        <v>838</v>
      </c>
      <c r="BZ18" t="s">
        <v>478</v>
      </c>
      <c r="CA18" t="s">
        <v>1252</v>
      </c>
      <c r="CB18" t="s">
        <v>1254</v>
      </c>
      <c r="CC18">
        <v>122</v>
      </c>
      <c r="CE18" t="s">
        <v>121</v>
      </c>
      <c r="CF18" t="s">
        <v>1255</v>
      </c>
      <c r="CG18" t="s">
        <v>556</v>
      </c>
      <c r="CH18" t="s">
        <v>108</v>
      </c>
      <c r="CI18">
        <v>21</v>
      </c>
      <c r="CJ18" t="s">
        <v>1207</v>
      </c>
    </row>
    <row r="19" spans="1:88" ht="12.75" customHeight="1" x14ac:dyDescent="0.25">
      <c r="A19" s="89">
        <v>4120212</v>
      </c>
      <c r="B19" s="90" t="s">
        <v>1451</v>
      </c>
      <c r="C19" s="89" t="s">
        <v>946</v>
      </c>
      <c r="D19" s="89" t="s">
        <v>176</v>
      </c>
      <c r="E19" s="89" t="s">
        <v>629</v>
      </c>
      <c r="F19" s="89" t="s">
        <v>942</v>
      </c>
      <c r="G19" s="89" t="s">
        <v>176</v>
      </c>
      <c r="H19" s="89" t="s">
        <v>947</v>
      </c>
      <c r="I19" s="89" t="s">
        <v>948</v>
      </c>
      <c r="K19" s="90" t="s">
        <v>1452</v>
      </c>
      <c r="L19" s="89">
        <v>15</v>
      </c>
      <c r="M19" s="91">
        <v>42456</v>
      </c>
      <c r="N19" s="89" t="s">
        <v>938</v>
      </c>
      <c r="O19" s="89" t="s">
        <v>176</v>
      </c>
      <c r="P19" s="89">
        <v>3330</v>
      </c>
      <c r="Q19" s="89">
        <v>52890</v>
      </c>
      <c r="R19" s="89">
        <v>9.5812615050000005</v>
      </c>
      <c r="S19" s="89">
        <v>5.036868973340896E-2</v>
      </c>
      <c r="T19" s="89">
        <v>278.04271896866464</v>
      </c>
      <c r="U19" s="89" t="s">
        <v>104</v>
      </c>
      <c r="V19" s="89" t="s">
        <v>939</v>
      </c>
      <c r="W19" s="89" t="s">
        <v>945</v>
      </c>
      <c r="X19" s="89" t="s">
        <v>940</v>
      </c>
      <c r="Y19" s="89" t="s">
        <v>107</v>
      </c>
      <c r="Z19" s="89" t="s">
        <v>86</v>
      </c>
      <c r="AA19" s="89">
        <v>1</v>
      </c>
      <c r="AB19" s="89" t="s">
        <v>97</v>
      </c>
      <c r="AC19" s="89" t="s">
        <v>947</v>
      </c>
      <c r="AG19" s="89" t="s">
        <v>965</v>
      </c>
      <c r="AL19" s="64" t="s">
        <v>110</v>
      </c>
      <c r="AM19" s="26" t="s">
        <v>1939</v>
      </c>
      <c r="AN19" s="26">
        <v>4060711</v>
      </c>
      <c r="AO19" s="26">
        <v>0.42</v>
      </c>
      <c r="AP19" s="64">
        <v>0.42</v>
      </c>
      <c r="AQ19" s="64">
        <v>6</v>
      </c>
      <c r="AR19" s="64">
        <v>9</v>
      </c>
      <c r="AS19" s="64">
        <v>5.5</v>
      </c>
      <c r="AT19" s="64"/>
      <c r="AU19" s="64">
        <v>0</v>
      </c>
      <c r="AV19" s="64">
        <v>8760</v>
      </c>
      <c r="AW19" s="199" t="s">
        <v>105</v>
      </c>
      <c r="AX19" s="64">
        <v>0.55000000000000004</v>
      </c>
      <c r="AZ19" s="17" t="s">
        <v>1984</v>
      </c>
      <c r="BA19" s="17" t="s">
        <v>1995</v>
      </c>
      <c r="BB19" s="17" t="s">
        <v>2004</v>
      </c>
      <c r="BC19" s="64" t="s">
        <v>2012</v>
      </c>
      <c r="BD19" s="64"/>
      <c r="BE19" s="64"/>
      <c r="BF19" s="64"/>
      <c r="BG19" s="64"/>
      <c r="BN19" s="17" t="s">
        <v>1903</v>
      </c>
      <c r="BZ19" t="s">
        <v>478</v>
      </c>
      <c r="CA19" t="s">
        <v>487</v>
      </c>
      <c r="CB19" t="s">
        <v>660</v>
      </c>
      <c r="CC19">
        <v>83</v>
      </c>
      <c r="CE19" t="s">
        <v>121</v>
      </c>
      <c r="CF19" t="s">
        <v>561</v>
      </c>
      <c r="CG19" t="s">
        <v>472</v>
      </c>
      <c r="CH19" t="s">
        <v>108</v>
      </c>
      <c r="CI19">
        <v>22</v>
      </c>
      <c r="CJ19" t="s">
        <v>706</v>
      </c>
    </row>
    <row r="20" spans="1:88" ht="12.75" customHeight="1" x14ac:dyDescent="0.25">
      <c r="A20" s="89">
        <v>4120213</v>
      </c>
      <c r="B20" s="90" t="s">
        <v>1453</v>
      </c>
      <c r="C20" s="89" t="s">
        <v>949</v>
      </c>
      <c r="D20" s="89" t="s">
        <v>176</v>
      </c>
      <c r="E20" s="89" t="s">
        <v>629</v>
      </c>
      <c r="F20" s="89" t="s">
        <v>942</v>
      </c>
      <c r="G20" s="89" t="s">
        <v>176</v>
      </c>
      <c r="H20" s="89" t="s">
        <v>950</v>
      </c>
      <c r="I20" s="89" t="s">
        <v>951</v>
      </c>
      <c r="K20" s="90" t="s">
        <v>1454</v>
      </c>
      <c r="L20" s="89">
        <v>15</v>
      </c>
      <c r="M20" s="91">
        <v>42456</v>
      </c>
      <c r="N20" s="89" t="s">
        <v>938</v>
      </c>
      <c r="O20" s="89" t="s">
        <v>176</v>
      </c>
      <c r="P20" s="89">
        <v>8815</v>
      </c>
      <c r="Q20" s="89">
        <v>141041</v>
      </c>
      <c r="R20" s="89">
        <v>25.550211834500001</v>
      </c>
      <c r="S20" s="89">
        <v>4.9999645493154471E-2</v>
      </c>
      <c r="T20" s="89">
        <v>276.00553943266368</v>
      </c>
      <c r="U20" s="89" t="s">
        <v>104</v>
      </c>
      <c r="V20" s="89" t="s">
        <v>939</v>
      </c>
      <c r="W20" s="89" t="s">
        <v>945</v>
      </c>
      <c r="X20" s="89" t="s">
        <v>940</v>
      </c>
      <c r="Y20" s="89" t="s">
        <v>107</v>
      </c>
      <c r="Z20" s="89" t="s">
        <v>86</v>
      </c>
      <c r="AA20" s="89">
        <v>1</v>
      </c>
      <c r="AB20" s="89" t="s">
        <v>97</v>
      </c>
      <c r="AC20" s="89" t="s">
        <v>950</v>
      </c>
      <c r="AG20" s="89" t="s">
        <v>966</v>
      </c>
      <c r="AL20" s="64" t="s">
        <v>109</v>
      </c>
      <c r="AM20" s="26" t="s">
        <v>1940</v>
      </c>
      <c r="AN20" s="26">
        <v>4060611</v>
      </c>
      <c r="AO20" s="26">
        <v>0.42</v>
      </c>
      <c r="AP20" s="64">
        <v>0.42</v>
      </c>
      <c r="AQ20" s="64">
        <v>6</v>
      </c>
      <c r="AR20" s="64">
        <v>8</v>
      </c>
      <c r="AS20" s="64">
        <v>3.5</v>
      </c>
      <c r="AT20" s="64"/>
      <c r="AU20" s="64">
        <v>0</v>
      </c>
      <c r="AV20" s="64">
        <v>8760</v>
      </c>
      <c r="AW20" s="199" t="s">
        <v>105</v>
      </c>
      <c r="AX20" s="64">
        <v>0.55000000000000004</v>
      </c>
      <c r="AZ20" s="17" t="s">
        <v>1985</v>
      </c>
      <c r="BA20" s="17" t="s">
        <v>1996</v>
      </c>
      <c r="BB20" s="17" t="s">
        <v>2005</v>
      </c>
      <c r="BC20" s="64" t="s">
        <v>2013</v>
      </c>
      <c r="BN20" s="17" t="s">
        <v>1979</v>
      </c>
      <c r="BZ20" t="s">
        <v>478</v>
      </c>
      <c r="CA20" t="s">
        <v>488</v>
      </c>
      <c r="CB20" t="s">
        <v>661</v>
      </c>
      <c r="CC20">
        <v>138</v>
      </c>
      <c r="CE20" t="s">
        <v>121</v>
      </c>
      <c r="CF20" t="s">
        <v>561</v>
      </c>
      <c r="CG20" t="s">
        <v>556</v>
      </c>
      <c r="CH20" t="s">
        <v>108</v>
      </c>
      <c r="CI20">
        <v>23</v>
      </c>
      <c r="CJ20" t="s">
        <v>706</v>
      </c>
    </row>
    <row r="21" spans="1:88" ht="12.75" customHeight="1" x14ac:dyDescent="0.25">
      <c r="A21" s="89">
        <v>4120214</v>
      </c>
      <c r="B21" s="90" t="s">
        <v>1455</v>
      </c>
      <c r="C21" s="89" t="s">
        <v>952</v>
      </c>
      <c r="D21" s="89" t="s">
        <v>176</v>
      </c>
      <c r="E21" s="89" t="s">
        <v>629</v>
      </c>
      <c r="F21" s="89" t="s">
        <v>942</v>
      </c>
      <c r="G21" s="89" t="s">
        <v>176</v>
      </c>
      <c r="H21" s="89" t="s">
        <v>953</v>
      </c>
      <c r="I21" s="89" t="s">
        <v>954</v>
      </c>
      <c r="K21" s="90" t="s">
        <v>1456</v>
      </c>
      <c r="L21" s="89">
        <v>15</v>
      </c>
      <c r="M21" s="91">
        <v>42456</v>
      </c>
      <c r="N21" s="89" t="s">
        <v>938</v>
      </c>
      <c r="O21" s="89" t="s">
        <v>176</v>
      </c>
      <c r="P21" s="89">
        <v>14000</v>
      </c>
      <c r="Q21" s="89">
        <v>282081</v>
      </c>
      <c r="R21" s="89">
        <v>51.100242514500003</v>
      </c>
      <c r="S21" s="89">
        <v>4.9631134319574874E-2</v>
      </c>
      <c r="T21" s="89">
        <v>273.97130250462931</v>
      </c>
      <c r="U21" s="89" t="s">
        <v>104</v>
      </c>
      <c r="V21" s="89" t="s">
        <v>939</v>
      </c>
      <c r="W21" s="89" t="s">
        <v>945</v>
      </c>
      <c r="X21" s="89" t="s">
        <v>940</v>
      </c>
      <c r="Y21" s="89" t="s">
        <v>107</v>
      </c>
      <c r="Z21" s="89" t="s">
        <v>86</v>
      </c>
      <c r="AA21" s="89">
        <v>1</v>
      </c>
      <c r="AB21" s="89" t="s">
        <v>97</v>
      </c>
      <c r="AC21" s="89" t="s">
        <v>953</v>
      </c>
      <c r="AG21" s="89" t="s">
        <v>967</v>
      </c>
      <c r="AL21" s="64" t="s">
        <v>1144</v>
      </c>
      <c r="AM21" s="25" t="s">
        <v>1941</v>
      </c>
      <c r="AN21" s="26">
        <v>4060611</v>
      </c>
      <c r="AO21" s="25">
        <v>0.42</v>
      </c>
      <c r="AP21" s="64">
        <v>0.42</v>
      </c>
      <c r="AQ21" s="64">
        <v>12</v>
      </c>
      <c r="AR21" s="64">
        <v>14</v>
      </c>
      <c r="AS21" s="64">
        <v>7.5</v>
      </c>
      <c r="AT21" s="64"/>
      <c r="AU21" s="64">
        <v>0</v>
      </c>
      <c r="AV21" s="64">
        <v>8760</v>
      </c>
      <c r="AW21" s="199" t="s">
        <v>105</v>
      </c>
      <c r="AX21" s="205">
        <v>0.42</v>
      </c>
      <c r="AZ21" s="17" t="s">
        <v>1986</v>
      </c>
      <c r="BA21" s="17" t="s">
        <v>1997</v>
      </c>
      <c r="BB21" s="17" t="s">
        <v>2006</v>
      </c>
      <c r="BC21" s="64" t="s">
        <v>2014</v>
      </c>
      <c r="BZ21" t="s">
        <v>478</v>
      </c>
      <c r="CA21" t="s">
        <v>489</v>
      </c>
      <c r="CB21" t="s">
        <v>662</v>
      </c>
      <c r="CC21">
        <v>221</v>
      </c>
      <c r="CE21" t="s">
        <v>121</v>
      </c>
      <c r="CF21" t="s">
        <v>561</v>
      </c>
      <c r="CG21" t="s">
        <v>559</v>
      </c>
      <c r="CH21" t="s">
        <v>108</v>
      </c>
      <c r="CI21">
        <v>24</v>
      </c>
      <c r="CJ21" t="s">
        <v>706</v>
      </c>
    </row>
    <row r="22" spans="1:88" ht="12.75" customHeight="1" x14ac:dyDescent="0.25">
      <c r="A22" s="202"/>
      <c r="B22" s="203"/>
      <c r="C22" s="202"/>
      <c r="D22" s="202"/>
      <c r="E22" s="202"/>
      <c r="F22" s="202"/>
      <c r="G22" s="202"/>
      <c r="H22" s="202"/>
      <c r="I22" s="202"/>
      <c r="J22" s="202"/>
      <c r="K22" s="203"/>
      <c r="L22" s="202"/>
      <c r="M22" s="204"/>
      <c r="N22" s="202"/>
      <c r="O22" s="202"/>
      <c r="P22" s="202"/>
      <c r="Q22" s="202"/>
      <c r="R22" s="202"/>
      <c r="S22" s="202"/>
      <c r="T22" s="202"/>
      <c r="U22" s="202"/>
      <c r="V22" s="202"/>
      <c r="W22" s="202"/>
      <c r="X22" s="202"/>
      <c r="Y22" s="202"/>
      <c r="Z22" s="202"/>
      <c r="AA22" s="202"/>
      <c r="AB22" s="202"/>
      <c r="AC22" s="202"/>
      <c r="AD22" s="205"/>
      <c r="AE22" s="205"/>
      <c r="AF22" s="205"/>
      <c r="AG22" s="202"/>
      <c r="AH22" s="205"/>
      <c r="AI22" s="205"/>
      <c r="AJ22" s="205"/>
      <c r="AL22" s="64" t="s">
        <v>121</v>
      </c>
      <c r="AM22" s="26" t="s">
        <v>1942</v>
      </c>
      <c r="AN22" s="26">
        <v>4060810</v>
      </c>
      <c r="AO22" s="26">
        <v>0.46</v>
      </c>
      <c r="AP22" s="64">
        <v>0.46</v>
      </c>
      <c r="AQ22" s="64">
        <v>8</v>
      </c>
      <c r="AR22" s="64">
        <v>10</v>
      </c>
      <c r="AS22" s="64">
        <v>5.5</v>
      </c>
      <c r="AT22" s="64"/>
      <c r="AU22" s="64">
        <v>0</v>
      </c>
      <c r="AV22" s="64">
        <v>8760</v>
      </c>
      <c r="AW22" s="199" t="s">
        <v>105</v>
      </c>
      <c r="AX22" s="64">
        <v>0.63</v>
      </c>
      <c r="AZ22" s="17" t="s">
        <v>1987</v>
      </c>
      <c r="BA22" s="17" t="s">
        <v>1998</v>
      </c>
      <c r="BB22" s="17" t="s">
        <v>2007</v>
      </c>
      <c r="BC22" s="64" t="s">
        <v>2015</v>
      </c>
      <c r="BZ22" t="s">
        <v>478</v>
      </c>
      <c r="CA22" t="s">
        <v>490</v>
      </c>
      <c r="CB22" t="s">
        <v>663</v>
      </c>
      <c r="CC22">
        <v>276</v>
      </c>
      <c r="CE22" t="s">
        <v>121</v>
      </c>
      <c r="CF22" t="s">
        <v>561</v>
      </c>
      <c r="CG22" t="s">
        <v>560</v>
      </c>
      <c r="CH22" t="s">
        <v>108</v>
      </c>
      <c r="CI22">
        <v>25</v>
      </c>
      <c r="CJ22" t="s">
        <v>706</v>
      </c>
    </row>
    <row r="23" spans="1:88" ht="12.75" customHeight="1" x14ac:dyDescent="0.25">
      <c r="A23" s="216" t="s">
        <v>923</v>
      </c>
      <c r="B23" s="217" t="s">
        <v>924</v>
      </c>
      <c r="C23" s="217" t="s">
        <v>925</v>
      </c>
      <c r="D23" s="217" t="s">
        <v>926</v>
      </c>
      <c r="E23" s="217" t="s">
        <v>927</v>
      </c>
      <c r="F23" s="217" t="s">
        <v>95</v>
      </c>
      <c r="G23" s="217" t="s">
        <v>928</v>
      </c>
      <c r="H23" s="217" t="s">
        <v>929</v>
      </c>
      <c r="I23" s="217" t="s">
        <v>96</v>
      </c>
      <c r="J23" s="217" t="s">
        <v>930</v>
      </c>
      <c r="K23" s="218" t="s">
        <v>931</v>
      </c>
      <c r="L23" s="217" t="s">
        <v>99</v>
      </c>
      <c r="M23" s="219" t="s">
        <v>932</v>
      </c>
      <c r="N23" s="217" t="s">
        <v>103</v>
      </c>
      <c r="O23" s="217" t="s">
        <v>613</v>
      </c>
      <c r="P23" s="217" t="s">
        <v>98</v>
      </c>
      <c r="Q23" s="217" t="s">
        <v>101</v>
      </c>
      <c r="R23" s="217" t="s">
        <v>933</v>
      </c>
      <c r="S23" s="217" t="s">
        <v>934</v>
      </c>
      <c r="T23" s="217" t="s">
        <v>935</v>
      </c>
      <c r="U23" s="217" t="s">
        <v>93</v>
      </c>
      <c r="V23" s="217" t="s">
        <v>0</v>
      </c>
      <c r="W23" s="217" t="s">
        <v>936</v>
      </c>
      <c r="X23" s="217" t="s">
        <v>380</v>
      </c>
      <c r="Y23" s="217" t="s">
        <v>102</v>
      </c>
      <c r="Z23" s="217" t="s">
        <v>837</v>
      </c>
      <c r="AA23" s="217" t="s">
        <v>937</v>
      </c>
      <c r="AB23" s="217" t="s">
        <v>71</v>
      </c>
      <c r="AC23" s="220" t="s">
        <v>122</v>
      </c>
      <c r="AD23" s="220" t="s">
        <v>123</v>
      </c>
      <c r="AE23" s="220" t="s">
        <v>126</v>
      </c>
      <c r="AF23" s="220" t="s">
        <v>173</v>
      </c>
      <c r="AG23" s="220" t="s">
        <v>124</v>
      </c>
      <c r="AH23" s="220" t="s">
        <v>125</v>
      </c>
      <c r="AI23" s="220" t="s">
        <v>1372</v>
      </c>
      <c r="AJ23" s="221" t="s">
        <v>1373</v>
      </c>
      <c r="AL23" s="64" t="s">
        <v>110</v>
      </c>
      <c r="AM23" s="26" t="s">
        <v>1943</v>
      </c>
      <c r="AN23" s="26">
        <v>4060710</v>
      </c>
      <c r="AO23" s="26">
        <v>0.48</v>
      </c>
      <c r="AP23" s="64">
        <v>0.48</v>
      </c>
      <c r="AQ23" s="64">
        <v>6</v>
      </c>
      <c r="AR23" s="64">
        <v>9</v>
      </c>
      <c r="AS23" s="64">
        <v>5.5</v>
      </c>
      <c r="AT23" s="64"/>
      <c r="AU23" s="64">
        <v>0</v>
      </c>
      <c r="AV23" s="64">
        <v>8760</v>
      </c>
      <c r="AW23" s="199" t="s">
        <v>105</v>
      </c>
      <c r="AX23" s="64">
        <v>0.63</v>
      </c>
      <c r="AZ23" s="17" t="s">
        <v>1988</v>
      </c>
      <c r="BA23" s="17" t="s">
        <v>1999</v>
      </c>
      <c r="BB23" s="17" t="s">
        <v>2008</v>
      </c>
      <c r="BC23" s="64" t="s">
        <v>2016</v>
      </c>
      <c r="BZ23" t="s">
        <v>491</v>
      </c>
      <c r="CA23" t="s">
        <v>1550</v>
      </c>
      <c r="CB23" t="s">
        <v>1553</v>
      </c>
      <c r="CC23">
        <v>82</v>
      </c>
      <c r="CE23" t="s">
        <v>121</v>
      </c>
      <c r="CF23" t="s">
        <v>558</v>
      </c>
      <c r="CG23" t="s">
        <v>560</v>
      </c>
      <c r="CH23" t="s">
        <v>108</v>
      </c>
      <c r="CJ23" t="s">
        <v>1207</v>
      </c>
    </row>
    <row r="24" spans="1:88" ht="12.75" customHeight="1" x14ac:dyDescent="0.25">
      <c r="A24" s="206">
        <v>4080311</v>
      </c>
      <c r="B24" s="299" t="s">
        <v>1650</v>
      </c>
      <c r="C24" s="301" t="s">
        <v>1649</v>
      </c>
      <c r="D24" s="208" t="s">
        <v>421</v>
      </c>
      <c r="E24" s="208" t="s">
        <v>639</v>
      </c>
      <c r="F24" s="208" t="s">
        <v>1365</v>
      </c>
      <c r="G24" s="208" t="s">
        <v>421</v>
      </c>
      <c r="H24" s="208" t="s">
        <v>1662</v>
      </c>
      <c r="I24" s="208" t="s">
        <v>1366</v>
      </c>
      <c r="J24" s="208"/>
      <c r="K24" s="207" t="s">
        <v>1457</v>
      </c>
      <c r="L24" s="208">
        <v>15</v>
      </c>
      <c r="M24" s="209">
        <v>43525</v>
      </c>
      <c r="N24" s="208" t="s">
        <v>1335</v>
      </c>
      <c r="O24" s="208" t="s">
        <v>421</v>
      </c>
      <c r="P24" s="208">
        <v>125</v>
      </c>
      <c r="Q24" s="208">
        <v>1289.5999999999999</v>
      </c>
      <c r="R24" s="208"/>
      <c r="S24" s="208">
        <v>4.9962185668368311E-2</v>
      </c>
      <c r="T24" s="208">
        <v>275.7987555835947</v>
      </c>
      <c r="U24" s="208" t="s">
        <v>104</v>
      </c>
      <c r="V24" s="208" t="s">
        <v>939</v>
      </c>
      <c r="W24" s="208" t="s">
        <v>945</v>
      </c>
      <c r="X24" s="208" t="s">
        <v>940</v>
      </c>
      <c r="Y24" s="208" t="s">
        <v>107</v>
      </c>
      <c r="Z24" s="208" t="s">
        <v>86</v>
      </c>
      <c r="AA24" s="208">
        <v>1</v>
      </c>
      <c r="AB24" s="208" t="s">
        <v>1367</v>
      </c>
      <c r="AC24" s="301" t="s">
        <v>1648</v>
      </c>
      <c r="AD24" s="303"/>
      <c r="AE24" s="303"/>
      <c r="AF24" s="303"/>
      <c r="AG24" s="301" t="s">
        <v>1647</v>
      </c>
      <c r="AH24" s="210"/>
      <c r="AI24" s="210">
        <v>1</v>
      </c>
      <c r="AJ24" s="305">
        <v>9999999</v>
      </c>
      <c r="AL24" s="64" t="s">
        <v>109</v>
      </c>
      <c r="AM24" s="26" t="s">
        <v>1944</v>
      </c>
      <c r="AN24" s="26">
        <v>4060610</v>
      </c>
      <c r="AO24" s="26">
        <v>0.48</v>
      </c>
      <c r="AP24" s="64">
        <v>0.48</v>
      </c>
      <c r="AQ24" s="64">
        <v>6</v>
      </c>
      <c r="AR24" s="64">
        <v>8</v>
      </c>
      <c r="AS24" s="64">
        <v>3.5</v>
      </c>
      <c r="AT24" s="64"/>
      <c r="AU24" s="64">
        <v>0</v>
      </c>
      <c r="AV24" s="64">
        <v>8760</v>
      </c>
      <c r="AW24" s="199" t="s">
        <v>105</v>
      </c>
      <c r="AX24" s="64">
        <v>0.63</v>
      </c>
      <c r="AZ24" s="17" t="s">
        <v>1989</v>
      </c>
      <c r="BA24" s="17" t="s">
        <v>2000</v>
      </c>
      <c r="BB24" s="64" t="s">
        <v>2009</v>
      </c>
      <c r="BC24" s="64" t="s">
        <v>2017</v>
      </c>
      <c r="BZ24" t="s">
        <v>491</v>
      </c>
      <c r="CA24" t="s">
        <v>1551</v>
      </c>
      <c r="CB24" t="s">
        <v>1554</v>
      </c>
      <c r="CC24">
        <v>133</v>
      </c>
      <c r="CE24" t="s">
        <v>121</v>
      </c>
      <c r="CF24" t="s">
        <v>558</v>
      </c>
      <c r="CG24" t="s">
        <v>560</v>
      </c>
      <c r="CH24" t="s">
        <v>108</v>
      </c>
      <c r="CJ24" t="s">
        <v>1207</v>
      </c>
    </row>
    <row r="25" spans="1:88" ht="12.75" customHeight="1" x14ac:dyDescent="0.25">
      <c r="A25" s="212">
        <v>4080411</v>
      </c>
      <c r="B25" s="300" t="s">
        <v>1651</v>
      </c>
      <c r="C25" s="302" t="s">
        <v>1458</v>
      </c>
      <c r="D25" s="214" t="s">
        <v>111</v>
      </c>
      <c r="E25" s="208" t="s">
        <v>639</v>
      </c>
      <c r="F25" s="214" t="s">
        <v>1368</v>
      </c>
      <c r="G25" s="214" t="s">
        <v>111</v>
      </c>
      <c r="H25" s="214" t="s">
        <v>1369</v>
      </c>
      <c r="I25" s="214" t="s">
        <v>1369</v>
      </c>
      <c r="J25" s="214"/>
      <c r="K25" s="213" t="s">
        <v>1459</v>
      </c>
      <c r="L25" s="214">
        <v>15</v>
      </c>
      <c r="M25" s="324">
        <v>44013</v>
      </c>
      <c r="N25" s="214" t="s">
        <v>1335</v>
      </c>
      <c r="O25" s="214" t="s">
        <v>111</v>
      </c>
      <c r="P25" s="214">
        <v>125</v>
      </c>
      <c r="Q25" s="214">
        <v>1696.6</v>
      </c>
      <c r="R25" s="214"/>
      <c r="S25" s="214">
        <v>5.036868973340896E-2</v>
      </c>
      <c r="T25" s="214">
        <v>278.04271896866464</v>
      </c>
      <c r="U25" s="214" t="s">
        <v>104</v>
      </c>
      <c r="V25" s="214" t="s">
        <v>939</v>
      </c>
      <c r="W25" s="214" t="s">
        <v>945</v>
      </c>
      <c r="X25" s="214" t="s">
        <v>940</v>
      </c>
      <c r="Y25" s="214" t="s">
        <v>107</v>
      </c>
      <c r="Z25" s="208" t="s">
        <v>86</v>
      </c>
      <c r="AA25" s="214">
        <v>1</v>
      </c>
      <c r="AB25" s="214" t="s">
        <v>1367</v>
      </c>
      <c r="AC25" s="302" t="s">
        <v>1652</v>
      </c>
      <c r="AD25" s="304"/>
      <c r="AE25" s="304"/>
      <c r="AF25" s="304"/>
      <c r="AG25" s="302" t="s">
        <v>1653</v>
      </c>
      <c r="AH25" s="215"/>
      <c r="AI25" s="215">
        <v>1</v>
      </c>
      <c r="AJ25" s="306">
        <v>9999999</v>
      </c>
      <c r="AL25" s="64" t="s">
        <v>1144</v>
      </c>
      <c r="AM25" s="25" t="s">
        <v>1945</v>
      </c>
      <c r="AN25" s="26">
        <v>4060610</v>
      </c>
      <c r="AO25" s="25">
        <v>0.48</v>
      </c>
      <c r="AP25" s="64">
        <v>0.48</v>
      </c>
      <c r="AQ25" s="64">
        <v>12</v>
      </c>
      <c r="AR25" s="64">
        <v>14</v>
      </c>
      <c r="AS25" s="64">
        <v>7.5</v>
      </c>
      <c r="AT25" s="64"/>
      <c r="AU25" s="64">
        <v>0</v>
      </c>
      <c r="AV25" s="64">
        <v>8760</v>
      </c>
      <c r="AW25" s="199" t="s">
        <v>105</v>
      </c>
      <c r="AX25" s="205">
        <v>0.48</v>
      </c>
      <c r="AZ25" s="17" t="s">
        <v>1990</v>
      </c>
      <c r="BA25" s="17" t="s">
        <v>2001</v>
      </c>
      <c r="BC25" s="17" t="s">
        <v>2018</v>
      </c>
      <c r="BZ25" t="s">
        <v>491</v>
      </c>
      <c r="CA25" t="s">
        <v>1552</v>
      </c>
      <c r="CB25" t="s">
        <v>1555</v>
      </c>
      <c r="CC25">
        <v>263</v>
      </c>
      <c r="CE25" t="s">
        <v>121</v>
      </c>
      <c r="CF25" t="s">
        <v>558</v>
      </c>
      <c r="CG25" t="s">
        <v>560</v>
      </c>
      <c r="CH25" t="s">
        <v>108</v>
      </c>
      <c r="CJ25" t="s">
        <v>1207</v>
      </c>
    </row>
    <row r="26" spans="1:88" ht="12.75" customHeight="1" x14ac:dyDescent="0.25">
      <c r="A26" s="206">
        <v>4080510</v>
      </c>
      <c r="B26" s="207" t="s">
        <v>1460</v>
      </c>
      <c r="C26" s="208" t="s">
        <v>1461</v>
      </c>
      <c r="D26" s="208" t="s">
        <v>425</v>
      </c>
      <c r="E26" s="208" t="s">
        <v>639</v>
      </c>
      <c r="F26" s="208" t="s">
        <v>958</v>
      </c>
      <c r="G26" s="208" t="s">
        <v>425</v>
      </c>
      <c r="H26" s="208" t="s">
        <v>959</v>
      </c>
      <c r="I26" s="208" t="s">
        <v>959</v>
      </c>
      <c r="J26" s="208"/>
      <c r="K26" s="207" t="s">
        <v>1462</v>
      </c>
      <c r="L26" s="208">
        <v>15</v>
      </c>
      <c r="M26" s="325">
        <v>44013</v>
      </c>
      <c r="N26" s="214" t="s">
        <v>1335</v>
      </c>
      <c r="O26" s="208" t="s">
        <v>425</v>
      </c>
      <c r="P26" s="208">
        <v>125</v>
      </c>
      <c r="Q26" s="208">
        <v>1747</v>
      </c>
      <c r="R26" s="208"/>
      <c r="S26" s="208">
        <v>4.9780963759458383E-2</v>
      </c>
      <c r="T26" s="208">
        <v>360.87832633018485</v>
      </c>
      <c r="U26" s="208" t="s">
        <v>104</v>
      </c>
      <c r="V26" s="208" t="s">
        <v>939</v>
      </c>
      <c r="W26" s="208" t="s">
        <v>945</v>
      </c>
      <c r="X26" s="208" t="s">
        <v>940</v>
      </c>
      <c r="Y26" s="208" t="s">
        <v>107</v>
      </c>
      <c r="Z26" s="208" t="s">
        <v>86</v>
      </c>
      <c r="AA26" s="208">
        <v>1</v>
      </c>
      <c r="AB26" s="208" t="s">
        <v>1367</v>
      </c>
      <c r="AC26" s="301" t="s">
        <v>959</v>
      </c>
      <c r="AD26" s="303"/>
      <c r="AE26" s="303"/>
      <c r="AF26" s="303"/>
      <c r="AG26" s="301" t="s">
        <v>958</v>
      </c>
      <c r="AH26" s="210"/>
      <c r="AI26" s="210">
        <v>0</v>
      </c>
      <c r="AJ26" s="211">
        <v>1000</v>
      </c>
      <c r="AL26" s="64" t="s">
        <v>121</v>
      </c>
      <c r="AM26" s="26" t="s">
        <v>1946</v>
      </c>
      <c r="AN26" s="26">
        <v>4060817</v>
      </c>
      <c r="AO26" s="26">
        <v>0.52</v>
      </c>
      <c r="AP26" s="64">
        <v>0.52</v>
      </c>
      <c r="AQ26" s="64">
        <v>8</v>
      </c>
      <c r="AR26" s="64">
        <v>10</v>
      </c>
      <c r="AS26" s="64">
        <v>5.5</v>
      </c>
      <c r="AT26" s="64"/>
      <c r="AU26" s="64">
        <v>0</v>
      </c>
      <c r="AV26" s="64">
        <v>8760</v>
      </c>
      <c r="AW26" s="64" t="s">
        <v>105</v>
      </c>
      <c r="AX26" s="205">
        <v>0.52</v>
      </c>
      <c r="AZ26" s="17" t="s">
        <v>1991</v>
      </c>
      <c r="BA26" s="17" t="s">
        <v>1901</v>
      </c>
      <c r="BB26" s="64"/>
      <c r="BZ26" t="s">
        <v>491</v>
      </c>
      <c r="CA26" t="s">
        <v>492</v>
      </c>
      <c r="CB26" t="s">
        <v>664</v>
      </c>
      <c r="CC26">
        <v>125</v>
      </c>
      <c r="CE26" t="s">
        <v>562</v>
      </c>
      <c r="CF26" t="s">
        <v>561</v>
      </c>
      <c r="CG26" t="s">
        <v>472</v>
      </c>
      <c r="CH26" t="s">
        <v>108</v>
      </c>
      <c r="CI26">
        <v>26</v>
      </c>
      <c r="CJ26" t="s">
        <v>706</v>
      </c>
    </row>
    <row r="27" spans="1:88" ht="12.75" customHeight="1" x14ac:dyDescent="0.25">
      <c r="A27" s="89">
        <v>4080611</v>
      </c>
      <c r="B27" s="203" t="s">
        <v>1657</v>
      </c>
      <c r="C27" s="202" t="s">
        <v>1656</v>
      </c>
      <c r="D27" s="89" t="s">
        <v>111</v>
      </c>
      <c r="E27" s="89" t="s">
        <v>638</v>
      </c>
      <c r="F27" s="89" t="s">
        <v>1370</v>
      </c>
      <c r="G27" s="89" t="s">
        <v>111</v>
      </c>
      <c r="H27" s="89" t="s">
        <v>1371</v>
      </c>
      <c r="I27" s="89" t="s">
        <v>1371</v>
      </c>
      <c r="K27" s="90" t="s">
        <v>1463</v>
      </c>
      <c r="L27" s="89">
        <v>15</v>
      </c>
      <c r="M27" s="204">
        <v>44013</v>
      </c>
      <c r="N27" s="89" t="s">
        <v>1335</v>
      </c>
      <c r="O27" s="89" t="s">
        <v>111</v>
      </c>
      <c r="P27" s="202">
        <v>105</v>
      </c>
      <c r="Q27" s="89">
        <v>939.7</v>
      </c>
      <c r="Z27" s="208" t="s">
        <v>86</v>
      </c>
      <c r="AB27" s="89" t="s">
        <v>1367</v>
      </c>
      <c r="AC27" s="205" t="s">
        <v>1655</v>
      </c>
      <c r="AD27" s="205"/>
      <c r="AE27" s="205"/>
      <c r="AF27" s="205"/>
      <c r="AG27" s="205" t="s">
        <v>1654</v>
      </c>
      <c r="AI27" s="17">
        <v>1</v>
      </c>
      <c r="AJ27" s="205">
        <v>9999999</v>
      </c>
      <c r="AL27" s="64" t="s">
        <v>110</v>
      </c>
      <c r="AM27" s="26" t="s">
        <v>1947</v>
      </c>
      <c r="AN27" s="26">
        <v>4060717</v>
      </c>
      <c r="AO27" s="26">
        <v>0.54</v>
      </c>
      <c r="AP27" s="64">
        <v>0.54</v>
      </c>
      <c r="AQ27" s="64">
        <v>6</v>
      </c>
      <c r="AR27" s="64">
        <v>9</v>
      </c>
      <c r="AS27" s="64">
        <v>5.5</v>
      </c>
      <c r="AT27" s="64"/>
      <c r="AU27" s="64">
        <v>0</v>
      </c>
      <c r="AV27" s="64">
        <v>8760</v>
      </c>
      <c r="AW27" s="64" t="s">
        <v>105</v>
      </c>
      <c r="AX27" s="205">
        <v>0.54</v>
      </c>
      <c r="BZ27" t="s">
        <v>491</v>
      </c>
      <c r="CA27" t="s">
        <v>493</v>
      </c>
      <c r="CB27" t="s">
        <v>665</v>
      </c>
      <c r="CC27">
        <v>227</v>
      </c>
      <c r="CE27" t="s">
        <v>562</v>
      </c>
      <c r="CF27" t="s">
        <v>561</v>
      </c>
      <c r="CG27" t="s">
        <v>556</v>
      </c>
      <c r="CH27" t="s">
        <v>108</v>
      </c>
      <c r="CI27">
        <v>27</v>
      </c>
      <c r="CJ27" t="s">
        <v>706</v>
      </c>
    </row>
    <row r="28" spans="1:88" ht="12.75" customHeight="1" x14ac:dyDescent="0.25">
      <c r="A28" s="202">
        <v>4080910</v>
      </c>
      <c r="B28" s="203" t="s">
        <v>1730</v>
      </c>
      <c r="C28" s="202" t="s">
        <v>1658</v>
      </c>
      <c r="D28" s="202" t="s">
        <v>421</v>
      </c>
      <c r="E28" s="307" t="s">
        <v>1660</v>
      </c>
      <c r="F28" s="202" t="s">
        <v>1659</v>
      </c>
      <c r="G28" s="202" t="s">
        <v>421</v>
      </c>
      <c r="H28" s="202" t="s">
        <v>1661</v>
      </c>
      <c r="I28" s="202" t="s">
        <v>1661</v>
      </c>
      <c r="J28" s="202"/>
      <c r="K28" s="203" t="s">
        <v>1664</v>
      </c>
      <c r="L28" s="202">
        <v>15</v>
      </c>
      <c r="M28" s="204">
        <v>44013</v>
      </c>
      <c r="N28" s="202" t="s">
        <v>1335</v>
      </c>
      <c r="O28" s="202" t="s">
        <v>421</v>
      </c>
      <c r="P28" s="202">
        <v>125</v>
      </c>
      <c r="Q28" s="202">
        <v>1289.5999999999999</v>
      </c>
      <c r="R28" s="202"/>
      <c r="S28" s="202"/>
      <c r="T28" s="202"/>
      <c r="U28" s="202"/>
      <c r="V28" s="202"/>
      <c r="W28" s="202"/>
      <c r="X28" s="202"/>
      <c r="Y28" s="202"/>
      <c r="Z28" s="202" t="s">
        <v>86</v>
      </c>
      <c r="AA28" s="202"/>
      <c r="AB28" s="202" t="s">
        <v>1367</v>
      </c>
      <c r="AC28" s="205" t="s">
        <v>1665</v>
      </c>
      <c r="AD28" s="205"/>
      <c r="AE28" s="205"/>
      <c r="AF28" s="205"/>
      <c r="AG28" s="205" t="s">
        <v>1666</v>
      </c>
      <c r="AH28" s="205"/>
      <c r="AI28" s="205">
        <v>1</v>
      </c>
      <c r="AJ28" s="205">
        <v>9999999</v>
      </c>
      <c r="AL28" s="64" t="s">
        <v>109</v>
      </c>
      <c r="AM28" s="26" t="s">
        <v>1948</v>
      </c>
      <c r="AN28" s="26">
        <v>4060617</v>
      </c>
      <c r="AO28" s="26">
        <v>0.54</v>
      </c>
      <c r="AP28" s="64">
        <v>0.54</v>
      </c>
      <c r="AQ28" s="64">
        <v>6</v>
      </c>
      <c r="AR28" s="64">
        <v>8</v>
      </c>
      <c r="AS28" s="64">
        <v>3.5</v>
      </c>
      <c r="AT28" s="64"/>
      <c r="AU28" s="64">
        <v>0</v>
      </c>
      <c r="AV28" s="64">
        <v>8760</v>
      </c>
      <c r="AW28" s="64" t="s">
        <v>105</v>
      </c>
      <c r="AX28" s="205">
        <v>0.54</v>
      </c>
      <c r="BK28" s="144"/>
      <c r="BO28" s="222"/>
      <c r="BP28" s="222"/>
      <c r="BZ28" t="s">
        <v>491</v>
      </c>
      <c r="CA28" t="s">
        <v>494</v>
      </c>
      <c r="CB28" t="s">
        <v>1226</v>
      </c>
      <c r="CC28">
        <v>352</v>
      </c>
      <c r="CE28" t="s">
        <v>562</v>
      </c>
      <c r="CF28" t="s">
        <v>561</v>
      </c>
      <c r="CG28" t="s">
        <v>559</v>
      </c>
      <c r="CH28" t="s">
        <v>108</v>
      </c>
      <c r="CI28">
        <v>28</v>
      </c>
      <c r="CJ28" t="s">
        <v>706</v>
      </c>
    </row>
    <row r="29" spans="1:88" ht="12.75" customHeight="1" x14ac:dyDescent="0.25">
      <c r="A29" s="202">
        <v>4080612</v>
      </c>
      <c r="B29" s="203" t="s">
        <v>1667</v>
      </c>
      <c r="C29" s="202" t="s">
        <v>1669</v>
      </c>
      <c r="D29" s="202" t="s">
        <v>111</v>
      </c>
      <c r="E29" s="307" t="s">
        <v>638</v>
      </c>
      <c r="F29" s="202" t="s">
        <v>1670</v>
      </c>
      <c r="G29" s="202" t="s">
        <v>111</v>
      </c>
      <c r="H29" s="202" t="s">
        <v>1671</v>
      </c>
      <c r="I29" s="202" t="s">
        <v>1671</v>
      </c>
      <c r="J29" s="202"/>
      <c r="K29" s="203" t="s">
        <v>1663</v>
      </c>
      <c r="L29" s="202">
        <v>15</v>
      </c>
      <c r="M29" s="204">
        <v>44013</v>
      </c>
      <c r="N29" s="202" t="s">
        <v>1335</v>
      </c>
      <c r="O29" s="202" t="s">
        <v>111</v>
      </c>
      <c r="P29" s="202">
        <v>32</v>
      </c>
      <c r="Q29" s="202">
        <v>479.5</v>
      </c>
      <c r="R29" s="202"/>
      <c r="S29" s="202"/>
      <c r="T29" s="202"/>
      <c r="U29" s="202"/>
      <c r="V29" s="202"/>
      <c r="W29" s="202"/>
      <c r="X29" s="202"/>
      <c r="Y29" s="202"/>
      <c r="Z29" s="202" t="s">
        <v>86</v>
      </c>
      <c r="AA29" s="202"/>
      <c r="AB29" s="202" t="s">
        <v>1367</v>
      </c>
      <c r="AC29" s="205" t="s">
        <v>1668</v>
      </c>
      <c r="AD29" s="205"/>
      <c r="AE29" s="205"/>
      <c r="AF29" s="205"/>
      <c r="AG29" s="205" t="s">
        <v>1704</v>
      </c>
      <c r="AH29" s="205"/>
      <c r="AI29" s="205">
        <v>1</v>
      </c>
      <c r="AJ29" s="205">
        <v>9999999</v>
      </c>
      <c r="AL29" s="64" t="s">
        <v>1144</v>
      </c>
      <c r="AM29" s="26" t="s">
        <v>1949</v>
      </c>
      <c r="AN29" s="26">
        <v>4060617</v>
      </c>
      <c r="AO29" s="26">
        <v>0.54</v>
      </c>
      <c r="AP29" s="64">
        <v>0.54</v>
      </c>
      <c r="AQ29" s="64">
        <v>12</v>
      </c>
      <c r="AR29" s="64">
        <v>14</v>
      </c>
      <c r="AS29" s="64">
        <v>7.5</v>
      </c>
      <c r="AT29" s="64"/>
      <c r="AU29" s="64">
        <v>0</v>
      </c>
      <c r="AV29" s="64">
        <v>8760</v>
      </c>
      <c r="AW29" s="64" t="s">
        <v>105</v>
      </c>
      <c r="AX29" s="205">
        <v>0.54</v>
      </c>
      <c r="AZ29" s="17" t="s">
        <v>1147</v>
      </c>
      <c r="BA29" s="17" t="s">
        <v>1148</v>
      </c>
      <c r="BB29" s="17" t="s">
        <v>1206</v>
      </c>
      <c r="BC29" s="17" t="s">
        <v>1149</v>
      </c>
      <c r="BD29" s="17" t="s">
        <v>1150</v>
      </c>
      <c r="BE29" s="17" t="s">
        <v>1208</v>
      </c>
      <c r="BF29" s="17" t="s">
        <v>1151</v>
      </c>
      <c r="BG29" s="17" t="s">
        <v>1152</v>
      </c>
      <c r="BH29" s="17" t="s">
        <v>1209</v>
      </c>
      <c r="BI29" s="17" t="s">
        <v>1153</v>
      </c>
      <c r="BJ29" s="17" t="s">
        <v>1154</v>
      </c>
      <c r="BK29" s="17" t="s">
        <v>1211</v>
      </c>
      <c r="BN29" s="144"/>
      <c r="BO29" s="144"/>
      <c r="BP29" s="144"/>
      <c r="BZ29" t="s">
        <v>491</v>
      </c>
      <c r="CA29" t="s">
        <v>495</v>
      </c>
      <c r="CB29" t="s">
        <v>1225</v>
      </c>
      <c r="CC29">
        <v>454</v>
      </c>
      <c r="CE29" t="s">
        <v>562</v>
      </c>
      <c r="CF29" t="s">
        <v>561</v>
      </c>
      <c r="CG29" t="s">
        <v>560</v>
      </c>
      <c r="CH29" t="s">
        <v>108</v>
      </c>
      <c r="CI29">
        <v>29</v>
      </c>
      <c r="CJ29" t="s">
        <v>706</v>
      </c>
    </row>
    <row r="30" spans="1:88" ht="12.75" customHeight="1" x14ac:dyDescent="0.25">
      <c r="AL30" s="64" t="s">
        <v>121</v>
      </c>
      <c r="AM30" s="26" t="s">
        <v>1950</v>
      </c>
      <c r="AN30" s="26">
        <v>4060816</v>
      </c>
      <c r="AO30" s="26">
        <v>0.57999999999999996</v>
      </c>
      <c r="AP30" s="64">
        <v>0.57999999999999996</v>
      </c>
      <c r="AQ30" s="64">
        <v>8</v>
      </c>
      <c r="AR30" s="64">
        <v>10</v>
      </c>
      <c r="AS30" s="64">
        <v>5.5</v>
      </c>
      <c r="AT30" s="64"/>
      <c r="AU30" s="64">
        <v>0</v>
      </c>
      <c r="AV30" s="64">
        <v>8760</v>
      </c>
      <c r="AW30" s="64" t="s">
        <v>105</v>
      </c>
      <c r="AX30" s="205">
        <v>0.57999999999999996</v>
      </c>
      <c r="AZ30" s="17" t="s">
        <v>2019</v>
      </c>
      <c r="BA30" s="17">
        <v>38</v>
      </c>
      <c r="BB30" s="17" t="s">
        <v>1207</v>
      </c>
      <c r="BC30" s="17" t="s">
        <v>2023</v>
      </c>
      <c r="BD30" s="17">
        <v>62</v>
      </c>
      <c r="BE30" s="17" t="s">
        <v>1207</v>
      </c>
      <c r="BF30" s="17" t="s">
        <v>2002</v>
      </c>
      <c r="BG30" s="17">
        <v>50</v>
      </c>
      <c r="BH30" s="17" t="s">
        <v>706</v>
      </c>
      <c r="BI30" s="17" t="s">
        <v>2010</v>
      </c>
      <c r="BJ30" s="17">
        <v>46</v>
      </c>
      <c r="BK30" s="17" t="s">
        <v>706</v>
      </c>
      <c r="BL30" s="428"/>
      <c r="BN30" s="144"/>
      <c r="BO30" s="144"/>
      <c r="BP30" s="144"/>
      <c r="BZ30" t="s">
        <v>496</v>
      </c>
      <c r="CA30" t="s">
        <v>497</v>
      </c>
      <c r="CB30" t="s">
        <v>666</v>
      </c>
      <c r="CC30">
        <v>200</v>
      </c>
      <c r="CE30" t="s">
        <v>563</v>
      </c>
      <c r="CF30" t="s">
        <v>561</v>
      </c>
      <c r="CG30" t="s">
        <v>472</v>
      </c>
      <c r="CH30" t="s">
        <v>108</v>
      </c>
      <c r="CI30">
        <v>30</v>
      </c>
      <c r="CJ30" t="s">
        <v>706</v>
      </c>
    </row>
    <row r="31" spans="1:88" ht="12.75" customHeight="1" x14ac:dyDescent="0.25">
      <c r="AL31" s="64" t="s">
        <v>110</v>
      </c>
      <c r="AM31" s="26" t="s">
        <v>1951</v>
      </c>
      <c r="AN31" s="26">
        <v>4060716</v>
      </c>
      <c r="AO31" s="26">
        <v>0.6</v>
      </c>
      <c r="AP31" s="64">
        <v>0.6</v>
      </c>
      <c r="AQ31" s="64">
        <v>6</v>
      </c>
      <c r="AR31" s="64">
        <v>9</v>
      </c>
      <c r="AS31" s="64">
        <v>5.5</v>
      </c>
      <c r="AT31" s="64"/>
      <c r="AU31" s="64">
        <v>0</v>
      </c>
      <c r="AV31" s="64">
        <v>8760</v>
      </c>
      <c r="AW31" s="64" t="s">
        <v>105</v>
      </c>
      <c r="AX31" s="205">
        <v>0.6</v>
      </c>
      <c r="AZ31" s="17" t="s">
        <v>2020</v>
      </c>
      <c r="BA31" s="17">
        <v>48</v>
      </c>
      <c r="BB31" s="17" t="s">
        <v>1207</v>
      </c>
      <c r="BC31" s="17" t="s">
        <v>1992</v>
      </c>
      <c r="BD31" s="17">
        <v>85</v>
      </c>
      <c r="BE31" s="17" t="s">
        <v>1207</v>
      </c>
      <c r="BF31" s="17" t="s">
        <v>2003</v>
      </c>
      <c r="BG31" s="17">
        <v>74</v>
      </c>
      <c r="BH31" s="17" t="s">
        <v>706</v>
      </c>
      <c r="BI31" s="17" t="s">
        <v>2011</v>
      </c>
      <c r="BJ31" s="17">
        <v>66</v>
      </c>
      <c r="BK31" s="17" t="s">
        <v>706</v>
      </c>
      <c r="BL31" s="428"/>
      <c r="BN31" s="144"/>
      <c r="BO31" s="144"/>
      <c r="BP31" s="144"/>
      <c r="BZ31" t="s">
        <v>496</v>
      </c>
      <c r="CA31" t="s">
        <v>498</v>
      </c>
      <c r="CB31" t="s">
        <v>667</v>
      </c>
      <c r="CC31">
        <v>390</v>
      </c>
      <c r="CE31" t="s">
        <v>563</v>
      </c>
      <c r="CF31" t="s">
        <v>561</v>
      </c>
      <c r="CG31" t="s">
        <v>556</v>
      </c>
      <c r="CH31" t="s">
        <v>108</v>
      </c>
      <c r="CI31">
        <v>31</v>
      </c>
      <c r="CJ31" t="s">
        <v>706</v>
      </c>
    </row>
    <row r="32" spans="1:88" ht="12.75" customHeight="1" x14ac:dyDescent="0.25">
      <c r="AL32" s="64" t="s">
        <v>109</v>
      </c>
      <c r="AM32" s="26" t="s">
        <v>1952</v>
      </c>
      <c r="AN32" s="26">
        <v>4060616</v>
      </c>
      <c r="AO32" s="26">
        <v>0.6</v>
      </c>
      <c r="AP32" s="64">
        <v>0.6</v>
      </c>
      <c r="AQ32" s="64">
        <v>6</v>
      </c>
      <c r="AR32" s="64">
        <v>8</v>
      </c>
      <c r="AS32" s="64">
        <v>3.5</v>
      </c>
      <c r="AT32" s="64"/>
      <c r="AU32" s="64">
        <v>0</v>
      </c>
      <c r="AV32" s="64">
        <v>8760</v>
      </c>
      <c r="AW32" s="64" t="s">
        <v>105</v>
      </c>
      <c r="AX32" s="205">
        <v>0.6</v>
      </c>
      <c r="AZ32" s="17" t="s">
        <v>2021</v>
      </c>
      <c r="BA32" s="17">
        <v>48</v>
      </c>
      <c r="BB32" s="17" t="s">
        <v>1207</v>
      </c>
      <c r="BC32" s="17" t="s">
        <v>1993</v>
      </c>
      <c r="BD32" s="17">
        <v>118</v>
      </c>
      <c r="BE32" s="17" t="s">
        <v>1207</v>
      </c>
      <c r="BF32" s="17" t="s">
        <v>2004</v>
      </c>
      <c r="BG32" s="17">
        <v>93</v>
      </c>
      <c r="BH32" s="17" t="s">
        <v>706</v>
      </c>
      <c r="BI32" s="17" t="s">
        <v>2012</v>
      </c>
      <c r="BJ32" s="17">
        <v>95</v>
      </c>
      <c r="BK32" s="17" t="s">
        <v>706</v>
      </c>
      <c r="BL32" s="428"/>
      <c r="BN32" s="144"/>
      <c r="BO32" s="144"/>
      <c r="BP32" s="144"/>
      <c r="BZ32" t="s">
        <v>496</v>
      </c>
      <c r="CA32" t="s">
        <v>499</v>
      </c>
      <c r="CB32" t="s">
        <v>668</v>
      </c>
      <c r="CC32">
        <v>590</v>
      </c>
      <c r="CE32" t="s">
        <v>563</v>
      </c>
      <c r="CF32" t="s">
        <v>561</v>
      </c>
      <c r="CG32" t="s">
        <v>559</v>
      </c>
      <c r="CH32" t="s">
        <v>108</v>
      </c>
      <c r="CI32">
        <v>32</v>
      </c>
      <c r="CJ32" t="s">
        <v>706</v>
      </c>
    </row>
    <row r="33" spans="1:88" ht="12.75" customHeight="1" x14ac:dyDescent="0.25">
      <c r="AL33" s="64" t="s">
        <v>1144</v>
      </c>
      <c r="AM33" s="25" t="s">
        <v>1953</v>
      </c>
      <c r="AN33" s="26">
        <v>4060616</v>
      </c>
      <c r="AO33" s="25">
        <v>0.6</v>
      </c>
      <c r="AP33" s="64">
        <v>0.6</v>
      </c>
      <c r="AQ33" s="64">
        <v>12</v>
      </c>
      <c r="AR33" s="64">
        <v>14</v>
      </c>
      <c r="AS33" s="64">
        <v>7.5</v>
      </c>
      <c r="AT33" s="64"/>
      <c r="AU33" s="64">
        <v>0</v>
      </c>
      <c r="AV33" s="64">
        <v>8760</v>
      </c>
      <c r="AW33" s="64" t="s">
        <v>105</v>
      </c>
      <c r="AX33" s="205">
        <v>0.6</v>
      </c>
      <c r="AZ33" s="17" t="s">
        <v>1982</v>
      </c>
      <c r="BA33" s="17">
        <v>72</v>
      </c>
      <c r="BB33" s="17" t="s">
        <v>707</v>
      </c>
      <c r="BC33" s="17" t="s">
        <v>1994</v>
      </c>
      <c r="BD33" s="17">
        <v>173</v>
      </c>
      <c r="BE33" s="17" t="s">
        <v>1207</v>
      </c>
      <c r="BF33" s="17" t="s">
        <v>2005</v>
      </c>
      <c r="BG33" s="17">
        <v>125</v>
      </c>
      <c r="BH33" s="17" t="s">
        <v>706</v>
      </c>
      <c r="BI33" s="17" t="s">
        <v>2013</v>
      </c>
      <c r="BJ33" s="17">
        <v>138</v>
      </c>
      <c r="BK33" s="17" t="s">
        <v>706</v>
      </c>
      <c r="BL33" s="190"/>
      <c r="BN33" s="144"/>
      <c r="BO33" s="144"/>
      <c r="BP33" s="144"/>
      <c r="BZ33" t="s">
        <v>496</v>
      </c>
      <c r="CA33" t="s">
        <v>473</v>
      </c>
      <c r="CB33" t="s">
        <v>1227</v>
      </c>
      <c r="CC33">
        <v>780</v>
      </c>
      <c r="CE33" t="s">
        <v>563</v>
      </c>
      <c r="CF33" t="s">
        <v>561</v>
      </c>
      <c r="CG33" t="s">
        <v>560</v>
      </c>
      <c r="CH33" t="s">
        <v>108</v>
      </c>
      <c r="CI33">
        <v>33</v>
      </c>
      <c r="CJ33" t="s">
        <v>706</v>
      </c>
    </row>
    <row r="34" spans="1:88" ht="12.75" customHeight="1" x14ac:dyDescent="0.25">
      <c r="AL34" s="64" t="s">
        <v>1356</v>
      </c>
      <c r="AM34" s="25" t="s">
        <v>1376</v>
      </c>
      <c r="AN34" s="17">
        <v>4061000</v>
      </c>
      <c r="AO34" s="25">
        <v>0.48</v>
      </c>
      <c r="AP34" s="64">
        <v>0.48</v>
      </c>
      <c r="AQ34" s="64"/>
      <c r="AR34" s="64"/>
      <c r="AS34" s="64"/>
      <c r="AT34" s="64"/>
      <c r="AU34" s="64"/>
      <c r="AV34" s="64"/>
      <c r="AW34" s="64" t="s">
        <v>105</v>
      </c>
      <c r="AX34" s="205">
        <v>0.48</v>
      </c>
      <c r="AZ34" s="17" t="s">
        <v>1983</v>
      </c>
      <c r="BA34" s="17">
        <v>95</v>
      </c>
      <c r="BB34" s="17" t="s">
        <v>706</v>
      </c>
      <c r="BC34" s="17" t="s">
        <v>1995</v>
      </c>
      <c r="BD34" s="17">
        <v>208</v>
      </c>
      <c r="BE34" s="17" t="s">
        <v>707</v>
      </c>
      <c r="BF34" s="17" t="s">
        <v>2006</v>
      </c>
      <c r="BG34" s="17">
        <v>205</v>
      </c>
      <c r="BH34" s="17" t="s">
        <v>706</v>
      </c>
      <c r="BI34" s="17" t="s">
        <v>2014</v>
      </c>
      <c r="BJ34" s="17">
        <v>188</v>
      </c>
      <c r="BK34" s="17" t="s">
        <v>706</v>
      </c>
      <c r="BL34" s="190"/>
      <c r="BN34" s="144"/>
      <c r="BO34" s="144"/>
      <c r="BP34" s="144"/>
      <c r="BZ34" t="s">
        <v>478</v>
      </c>
      <c r="CA34" t="s">
        <v>133</v>
      </c>
      <c r="CB34" t="s">
        <v>669</v>
      </c>
      <c r="CC34">
        <v>48</v>
      </c>
      <c r="CE34" t="s">
        <v>121</v>
      </c>
      <c r="CF34" t="s">
        <v>558</v>
      </c>
      <c r="CG34" t="s">
        <v>472</v>
      </c>
      <c r="CH34" t="s">
        <v>108</v>
      </c>
      <c r="CI34">
        <v>34</v>
      </c>
      <c r="CJ34" t="s">
        <v>706</v>
      </c>
    </row>
    <row r="35" spans="1:88" ht="12.75" customHeight="1" x14ac:dyDescent="0.25">
      <c r="A35" s="89" t="s">
        <v>923</v>
      </c>
      <c r="B35" s="90" t="s">
        <v>924</v>
      </c>
      <c r="C35" s="89" t="s">
        <v>925</v>
      </c>
      <c r="D35" s="89" t="s">
        <v>926</v>
      </c>
      <c r="E35" s="89" t="s">
        <v>927</v>
      </c>
      <c r="F35" s="89" t="s">
        <v>95</v>
      </c>
      <c r="G35" s="89" t="s">
        <v>928</v>
      </c>
      <c r="H35" s="89" t="s">
        <v>929</v>
      </c>
      <c r="I35" s="89" t="s">
        <v>96</v>
      </c>
      <c r="J35" s="89" t="s">
        <v>930</v>
      </c>
      <c r="K35" s="90" t="s">
        <v>931</v>
      </c>
      <c r="L35" s="89" t="s">
        <v>99</v>
      </c>
      <c r="M35" s="91" t="s">
        <v>932</v>
      </c>
      <c r="N35" s="89" t="s">
        <v>103</v>
      </c>
      <c r="O35" s="89" t="s">
        <v>613</v>
      </c>
      <c r="P35" s="89" t="s">
        <v>98</v>
      </c>
      <c r="Q35" s="89" t="s">
        <v>101</v>
      </c>
      <c r="R35" s="89" t="s">
        <v>933</v>
      </c>
      <c r="S35" s="89" t="s">
        <v>934</v>
      </c>
      <c r="T35" s="89" t="s">
        <v>935</v>
      </c>
      <c r="U35" s="89" t="s">
        <v>93</v>
      </c>
      <c r="V35" s="89" t="s">
        <v>0</v>
      </c>
      <c r="W35" s="89" t="s">
        <v>936</v>
      </c>
      <c r="X35" s="89" t="s">
        <v>380</v>
      </c>
      <c r="Y35" s="89" t="s">
        <v>102</v>
      </c>
      <c r="Z35" s="89" t="s">
        <v>837</v>
      </c>
      <c r="AA35" s="89" t="s">
        <v>937</v>
      </c>
      <c r="AB35" s="89" t="s">
        <v>71</v>
      </c>
      <c r="AC35" s="17" t="s">
        <v>122</v>
      </c>
      <c r="AD35" s="17" t="s">
        <v>123</v>
      </c>
      <c r="AE35" s="17" t="s">
        <v>126</v>
      </c>
      <c r="AF35" s="17" t="s">
        <v>173</v>
      </c>
      <c r="AG35" s="17" t="s">
        <v>124</v>
      </c>
      <c r="AH35" s="17" t="s">
        <v>125</v>
      </c>
      <c r="AI35" s="17" t="s">
        <v>1372</v>
      </c>
      <c r="AJ35" s="17" t="s">
        <v>1373</v>
      </c>
      <c r="AL35" s="64" t="s">
        <v>1364</v>
      </c>
      <c r="AM35" s="25" t="s">
        <v>1377</v>
      </c>
      <c r="AN35" s="17">
        <v>4061001</v>
      </c>
      <c r="AO35" s="25">
        <v>0.57999999999999996</v>
      </c>
      <c r="AP35" s="64">
        <v>0.57999999999999996</v>
      </c>
      <c r="AQ35" s="64"/>
      <c r="AR35" s="64"/>
      <c r="AS35" s="64"/>
      <c r="AT35" s="64"/>
      <c r="AU35" s="64"/>
      <c r="AV35" s="64"/>
      <c r="AW35" s="64" t="s">
        <v>105</v>
      </c>
      <c r="AX35" s="205">
        <v>0.57999999999999996</v>
      </c>
      <c r="AZ35" s="17" t="s">
        <v>1984</v>
      </c>
      <c r="BA35" s="17">
        <v>114</v>
      </c>
      <c r="BB35" s="17" t="s">
        <v>706</v>
      </c>
      <c r="BC35" s="17" t="s">
        <v>1996</v>
      </c>
      <c r="BD35" s="17">
        <v>227</v>
      </c>
      <c r="BE35" s="17" t="s">
        <v>706</v>
      </c>
      <c r="BF35" s="17" t="s">
        <v>2007</v>
      </c>
      <c r="BG35" s="17">
        <v>290</v>
      </c>
      <c r="BH35" s="17" t="s">
        <v>706</v>
      </c>
      <c r="BI35" s="17" t="s">
        <v>2015</v>
      </c>
      <c r="BJ35" s="17">
        <v>250</v>
      </c>
      <c r="BK35" s="17" t="s">
        <v>706</v>
      </c>
      <c r="BL35" s="190"/>
      <c r="BN35" s="144"/>
      <c r="BO35" s="144"/>
      <c r="BP35" s="144"/>
      <c r="BZ35" t="s">
        <v>478</v>
      </c>
      <c r="CA35" t="s">
        <v>134</v>
      </c>
      <c r="CB35" t="s">
        <v>670</v>
      </c>
      <c r="CC35">
        <v>72</v>
      </c>
      <c r="CE35" t="s">
        <v>121</v>
      </c>
      <c r="CF35" t="s">
        <v>558</v>
      </c>
      <c r="CG35" t="s">
        <v>556</v>
      </c>
      <c r="CH35" t="s">
        <v>108</v>
      </c>
      <c r="CI35">
        <v>35</v>
      </c>
      <c r="CJ35" t="s">
        <v>706</v>
      </c>
    </row>
    <row r="36" spans="1:88" ht="12.75" customHeight="1" x14ac:dyDescent="0.25">
      <c r="A36" s="89">
        <v>4020710</v>
      </c>
      <c r="B36" s="90" t="s">
        <v>1606</v>
      </c>
      <c r="C36" s="89" t="s">
        <v>1604</v>
      </c>
      <c r="D36" s="89" t="s">
        <v>115</v>
      </c>
      <c r="E36" s="89" t="s">
        <v>1608</v>
      </c>
      <c r="F36" s="89" t="s">
        <v>1604</v>
      </c>
      <c r="G36" s="89" t="s">
        <v>115</v>
      </c>
      <c r="H36" s="89" t="s">
        <v>1604</v>
      </c>
      <c r="I36" s="89" t="s">
        <v>1610</v>
      </c>
      <c r="K36" s="90" t="s">
        <v>1616</v>
      </c>
      <c r="L36" s="89">
        <v>13</v>
      </c>
      <c r="M36" s="91">
        <v>43862</v>
      </c>
      <c r="N36" s="89" t="s">
        <v>1335</v>
      </c>
      <c r="O36" s="89" t="s">
        <v>418</v>
      </c>
      <c r="P36" s="89">
        <v>225</v>
      </c>
      <c r="Q36" s="89">
        <v>2319.541714</v>
      </c>
      <c r="Z36" s="89" t="s">
        <v>86</v>
      </c>
      <c r="AA36" s="89">
        <v>1</v>
      </c>
      <c r="AB36" s="89" t="s">
        <v>1611</v>
      </c>
      <c r="AC36" s="17" t="s">
        <v>1610</v>
      </c>
      <c r="AG36" s="17" t="s">
        <v>1604</v>
      </c>
      <c r="AI36" s="205">
        <v>0</v>
      </c>
      <c r="AJ36" s="205">
        <v>9999999</v>
      </c>
      <c r="AL36" s="64"/>
      <c r="AM36" s="64"/>
      <c r="AN36" s="198"/>
      <c r="AO36" s="64"/>
      <c r="AP36" s="199"/>
      <c r="AQ36" s="64"/>
      <c r="AR36" s="64"/>
      <c r="AS36" s="64"/>
      <c r="AT36" s="64"/>
      <c r="AU36" s="64"/>
      <c r="AV36" s="64"/>
      <c r="AW36" s="199"/>
      <c r="AX36" s="199"/>
      <c r="AZ36" s="17" t="s">
        <v>1985</v>
      </c>
      <c r="BA36" s="17">
        <v>190</v>
      </c>
      <c r="BB36" s="17" t="s">
        <v>707</v>
      </c>
      <c r="BC36" s="17" t="s">
        <v>1997</v>
      </c>
      <c r="BD36" s="17">
        <v>288</v>
      </c>
      <c r="BE36" s="17" t="s">
        <v>707</v>
      </c>
      <c r="BF36" s="17" t="s">
        <v>2008</v>
      </c>
      <c r="BG36" s="17">
        <v>455</v>
      </c>
      <c r="BH36" s="17" t="s">
        <v>706</v>
      </c>
      <c r="BI36" s="17" t="s">
        <v>2016</v>
      </c>
      <c r="BJ36" s="17">
        <v>295</v>
      </c>
      <c r="BK36" s="17" t="s">
        <v>706</v>
      </c>
      <c r="BL36" s="190"/>
      <c r="BN36" s="144"/>
      <c r="BO36" s="144"/>
      <c r="BP36" s="144"/>
      <c r="BZ36" t="s">
        <v>478</v>
      </c>
      <c r="CA36" t="s">
        <v>1199</v>
      </c>
      <c r="CB36" t="s">
        <v>1228</v>
      </c>
      <c r="CC36">
        <v>115</v>
      </c>
      <c r="CE36" t="s">
        <v>121</v>
      </c>
      <c r="CF36" t="s">
        <v>558</v>
      </c>
      <c r="CG36" t="s">
        <v>559</v>
      </c>
      <c r="CH36" t="s">
        <v>108</v>
      </c>
      <c r="CI36">
        <v>36</v>
      </c>
      <c r="CJ36" t="s">
        <v>707</v>
      </c>
    </row>
    <row r="37" spans="1:88" ht="12.75" customHeight="1" x14ac:dyDescent="0.25">
      <c r="A37" s="89">
        <v>4020310</v>
      </c>
      <c r="B37" s="90" t="s">
        <v>1607</v>
      </c>
      <c r="C37" s="89" t="s">
        <v>1605</v>
      </c>
      <c r="D37" s="89" t="s">
        <v>115</v>
      </c>
      <c r="E37" s="89" t="s">
        <v>1608</v>
      </c>
      <c r="F37" s="89" t="s">
        <v>1609</v>
      </c>
      <c r="G37" s="89" t="s">
        <v>115</v>
      </c>
      <c r="H37" s="89" t="s">
        <v>1609</v>
      </c>
      <c r="I37" s="89" t="s">
        <v>1609</v>
      </c>
      <c r="K37" s="90" t="s">
        <v>1617</v>
      </c>
      <c r="L37" s="89">
        <v>15</v>
      </c>
      <c r="M37" s="91">
        <v>43862</v>
      </c>
      <c r="N37" s="89" t="s">
        <v>1335</v>
      </c>
      <c r="O37" s="89" t="s">
        <v>418</v>
      </c>
      <c r="P37" s="89">
        <v>75</v>
      </c>
      <c r="Q37" s="89">
        <v>1129.707429</v>
      </c>
      <c r="Z37" s="89" t="s">
        <v>86</v>
      </c>
      <c r="AA37" s="89">
        <v>1</v>
      </c>
      <c r="AB37" s="89" t="s">
        <v>1612</v>
      </c>
      <c r="AC37" s="17" t="s">
        <v>1609</v>
      </c>
      <c r="AG37" s="17" t="s">
        <v>1605</v>
      </c>
      <c r="AI37" s="205">
        <v>0</v>
      </c>
      <c r="AJ37" s="205">
        <v>9999999</v>
      </c>
      <c r="AL37" s="17" t="s">
        <v>121</v>
      </c>
      <c r="AM37" s="17" t="s">
        <v>110</v>
      </c>
      <c r="AN37" s="17" t="s">
        <v>109</v>
      </c>
      <c r="AP37" s="17" t="s">
        <v>1390</v>
      </c>
      <c r="AR37" s="177" t="s">
        <v>1399</v>
      </c>
      <c r="AZ37" s="17" t="s">
        <v>1986</v>
      </c>
      <c r="BA37" s="17">
        <v>199</v>
      </c>
      <c r="BB37" s="17" t="s">
        <v>706</v>
      </c>
      <c r="BC37" s="17" t="s">
        <v>1998</v>
      </c>
      <c r="BD37" s="17">
        <v>364</v>
      </c>
      <c r="BE37" s="17" t="s">
        <v>706</v>
      </c>
      <c r="BF37" s="17" t="s">
        <v>2009</v>
      </c>
      <c r="BG37" s="17">
        <v>1075</v>
      </c>
      <c r="BH37" s="17" t="s">
        <v>707</v>
      </c>
      <c r="BI37" s="17" t="s">
        <v>2026</v>
      </c>
      <c r="BJ37" s="17">
        <v>365</v>
      </c>
      <c r="BK37" s="17" t="s">
        <v>1207</v>
      </c>
      <c r="BL37" s="190"/>
      <c r="BN37" s="144"/>
      <c r="BO37" s="144"/>
      <c r="BP37" s="144"/>
      <c r="CA37" t="s">
        <v>1038</v>
      </c>
      <c r="CC37" t="s">
        <v>658</v>
      </c>
      <c r="CI37">
        <v>37</v>
      </c>
    </row>
    <row r="38" spans="1:88" ht="12.75" customHeight="1" x14ac:dyDescent="0.25">
      <c r="A38" s="202">
        <v>4020810</v>
      </c>
      <c r="B38" s="203" t="s">
        <v>1688</v>
      </c>
      <c r="C38" s="202" t="s">
        <v>1691</v>
      </c>
      <c r="D38" s="202" t="s">
        <v>115</v>
      </c>
      <c r="E38" s="202" t="s">
        <v>1608</v>
      </c>
      <c r="F38" s="202" t="s">
        <v>1691</v>
      </c>
      <c r="G38" s="202" t="s">
        <v>115</v>
      </c>
      <c r="H38" s="202" t="s">
        <v>1692</v>
      </c>
      <c r="I38" s="202" t="s">
        <v>1692</v>
      </c>
      <c r="J38" s="202"/>
      <c r="K38" s="203" t="s">
        <v>1693</v>
      </c>
      <c r="L38" s="202">
        <v>10</v>
      </c>
      <c r="M38" s="204">
        <v>44013</v>
      </c>
      <c r="N38" s="202" t="s">
        <v>1335</v>
      </c>
      <c r="O38" s="202" t="s">
        <v>418</v>
      </c>
      <c r="P38" s="202">
        <v>94</v>
      </c>
      <c r="Q38" s="202">
        <v>987</v>
      </c>
      <c r="R38" s="202"/>
      <c r="S38" s="202"/>
      <c r="T38" s="202"/>
      <c r="U38" s="202"/>
      <c r="V38" s="202"/>
      <c r="W38" s="202"/>
      <c r="X38" s="202"/>
      <c r="Y38" s="202"/>
      <c r="Z38" s="202" t="s">
        <v>86</v>
      </c>
      <c r="AA38" s="202">
        <v>1</v>
      </c>
      <c r="AB38" s="202" t="s">
        <v>1367</v>
      </c>
      <c r="AC38" s="205" t="s">
        <v>1695</v>
      </c>
      <c r="AD38" s="205"/>
      <c r="AE38" s="205"/>
      <c r="AF38" s="205"/>
      <c r="AG38" s="205" t="s">
        <v>1694</v>
      </c>
      <c r="AH38" s="205"/>
      <c r="AI38" s="205">
        <v>5</v>
      </c>
      <c r="AJ38" s="205">
        <v>40</v>
      </c>
      <c r="AL38" t="s">
        <v>479</v>
      </c>
      <c r="AM38" t="s">
        <v>501</v>
      </c>
      <c r="AN38" t="s">
        <v>1261</v>
      </c>
      <c r="AP38" s="17" t="s">
        <v>1391</v>
      </c>
      <c r="AR38" s="190" t="s">
        <v>1400</v>
      </c>
      <c r="AZ38" s="17" t="s">
        <v>1987</v>
      </c>
      <c r="BA38" s="17">
        <v>284</v>
      </c>
      <c r="BB38" s="17" t="s">
        <v>706</v>
      </c>
      <c r="BC38" s="17" t="s">
        <v>1999</v>
      </c>
      <c r="BD38" s="17">
        <v>398</v>
      </c>
      <c r="BE38" s="17" t="s">
        <v>706</v>
      </c>
      <c r="BI38" s="17" t="s">
        <v>2017</v>
      </c>
      <c r="BJ38" s="17">
        <v>465</v>
      </c>
      <c r="BK38" s="17" t="s">
        <v>706</v>
      </c>
      <c r="BZ38" t="s">
        <v>500</v>
      </c>
      <c r="CA38" t="s">
        <v>501</v>
      </c>
      <c r="CB38" t="s">
        <v>671</v>
      </c>
      <c r="CC38">
        <v>16</v>
      </c>
      <c r="CE38" t="s">
        <v>110</v>
      </c>
      <c r="CF38" t="s">
        <v>469</v>
      </c>
      <c r="CG38" t="s">
        <v>472</v>
      </c>
      <c r="CH38" t="s">
        <v>108</v>
      </c>
      <c r="CI38">
        <v>38</v>
      </c>
      <c r="CJ38" t="s">
        <v>707</v>
      </c>
    </row>
    <row r="39" spans="1:88" ht="12.75" customHeight="1" x14ac:dyDescent="0.25">
      <c r="O39" s="92"/>
      <c r="P39" s="92"/>
      <c r="AL39" t="s">
        <v>480</v>
      </c>
      <c r="AM39" t="s">
        <v>502</v>
      </c>
      <c r="AN39" t="s">
        <v>1262</v>
      </c>
      <c r="AO39" s="144"/>
      <c r="AP39" s="64" t="s">
        <v>1392</v>
      </c>
      <c r="AQ39" s="144"/>
      <c r="AR39" s="64" t="s">
        <v>1401</v>
      </c>
      <c r="AS39" s="144"/>
      <c r="AT39" s="144"/>
      <c r="AU39" s="144"/>
      <c r="AV39" s="144"/>
      <c r="AW39" s="144"/>
      <c r="AX39" s="144"/>
      <c r="AZ39" s="17" t="s">
        <v>1988</v>
      </c>
      <c r="BA39" s="17">
        <v>455</v>
      </c>
      <c r="BB39" s="17" t="s">
        <v>706</v>
      </c>
      <c r="BC39" s="17" t="s">
        <v>2000</v>
      </c>
      <c r="BD39" s="17">
        <v>456</v>
      </c>
      <c r="BE39" s="17" t="s">
        <v>707</v>
      </c>
      <c r="BI39" s="17" t="s">
        <v>2027</v>
      </c>
      <c r="BJ39" s="17">
        <v>665</v>
      </c>
      <c r="BK39" s="17" t="s">
        <v>1207</v>
      </c>
      <c r="BZ39" t="s">
        <v>500</v>
      </c>
      <c r="CA39" t="s">
        <v>502</v>
      </c>
      <c r="CB39" t="s">
        <v>672</v>
      </c>
      <c r="CC39">
        <v>32</v>
      </c>
      <c r="CE39" t="s">
        <v>110</v>
      </c>
      <c r="CF39" t="s">
        <v>469</v>
      </c>
      <c r="CG39" t="s">
        <v>556</v>
      </c>
      <c r="CH39" t="s">
        <v>108</v>
      </c>
      <c r="CI39">
        <v>39</v>
      </c>
      <c r="CJ39" t="s">
        <v>707</v>
      </c>
    </row>
    <row r="40" spans="1:88" ht="12.75" customHeight="1" x14ac:dyDescent="0.25">
      <c r="O40" s="92"/>
      <c r="P40" s="92"/>
      <c r="AL40" t="s">
        <v>1187</v>
      </c>
      <c r="AM40" t="s">
        <v>1192</v>
      </c>
      <c r="AN40" t="s">
        <v>763</v>
      </c>
      <c r="AO40" s="144"/>
      <c r="AP40" s="64" t="s">
        <v>1374</v>
      </c>
      <c r="AQ40" s="144"/>
      <c r="AR40" s="64" t="s">
        <v>1402</v>
      </c>
      <c r="AS40" s="144"/>
      <c r="AT40" s="144"/>
      <c r="AU40" s="144"/>
      <c r="AV40" s="144"/>
      <c r="AW40" s="144"/>
      <c r="AX40" s="144"/>
      <c r="AZ40" s="17" t="s">
        <v>1989</v>
      </c>
      <c r="BA40" s="17">
        <v>1080</v>
      </c>
      <c r="BB40" s="17" t="s">
        <v>706</v>
      </c>
      <c r="BC40" s="17" t="s">
        <v>2024</v>
      </c>
      <c r="BD40" s="17">
        <v>506</v>
      </c>
      <c r="BE40" s="17" t="s">
        <v>707</v>
      </c>
      <c r="BI40" s="17" t="s">
        <v>2028</v>
      </c>
      <c r="BJ40" s="17">
        <v>835</v>
      </c>
      <c r="BK40" s="17" t="s">
        <v>707</v>
      </c>
      <c r="BZ40" t="s">
        <v>500</v>
      </c>
      <c r="CA40" t="s">
        <v>1192</v>
      </c>
      <c r="CB40" t="s">
        <v>1232</v>
      </c>
      <c r="CC40">
        <v>48</v>
      </c>
      <c r="CE40" t="s">
        <v>110</v>
      </c>
      <c r="CF40" t="s">
        <v>469</v>
      </c>
      <c r="CG40" t="s">
        <v>559</v>
      </c>
      <c r="CH40" t="s">
        <v>108</v>
      </c>
      <c r="CI40">
        <v>40</v>
      </c>
      <c r="CJ40" t="s">
        <v>707</v>
      </c>
    </row>
    <row r="41" spans="1:88" ht="12.75" customHeight="1" x14ac:dyDescent="0.25">
      <c r="O41" s="92"/>
      <c r="P41" s="92"/>
      <c r="AL41" t="s">
        <v>1188</v>
      </c>
      <c r="AM41" t="s">
        <v>1193</v>
      </c>
      <c r="AN41" t="s">
        <v>764</v>
      </c>
      <c r="AO41" s="144"/>
      <c r="AP41" s="144"/>
      <c r="AQ41" s="144"/>
      <c r="AR41" s="64" t="s">
        <v>1403</v>
      </c>
      <c r="AS41" s="144"/>
      <c r="AT41" s="144"/>
      <c r="AU41" s="144"/>
      <c r="AV41" s="144"/>
      <c r="AW41" s="144"/>
      <c r="AX41" s="144"/>
      <c r="AZ41" s="17" t="s">
        <v>1990</v>
      </c>
      <c r="BA41" s="17">
        <v>1610</v>
      </c>
      <c r="BB41" s="17" t="s">
        <v>707</v>
      </c>
      <c r="BC41" s="17" t="s">
        <v>2025</v>
      </c>
      <c r="BD41" s="17">
        <v>818</v>
      </c>
      <c r="BE41" s="17" t="s">
        <v>707</v>
      </c>
      <c r="BI41" s="17" t="s">
        <v>2018</v>
      </c>
      <c r="BJ41" s="17">
        <v>1100</v>
      </c>
      <c r="BK41" s="17" t="s">
        <v>706</v>
      </c>
      <c r="BZ41" t="s">
        <v>500</v>
      </c>
      <c r="CA41" t="s">
        <v>1193</v>
      </c>
      <c r="CB41" t="s">
        <v>1233</v>
      </c>
      <c r="CC41">
        <v>64</v>
      </c>
      <c r="CE41" t="s">
        <v>110</v>
      </c>
      <c r="CF41" t="s">
        <v>469</v>
      </c>
      <c r="CG41" t="s">
        <v>560</v>
      </c>
      <c r="CH41" t="s">
        <v>108</v>
      </c>
      <c r="CI41">
        <v>41</v>
      </c>
      <c r="CJ41" t="s">
        <v>707</v>
      </c>
    </row>
    <row r="42" spans="1:88" ht="12.75" customHeight="1" x14ac:dyDescent="0.25">
      <c r="A42" s="89" t="s">
        <v>923</v>
      </c>
      <c r="B42" s="89" t="s">
        <v>924</v>
      </c>
      <c r="C42" s="89" t="s">
        <v>925</v>
      </c>
      <c r="D42" s="89" t="s">
        <v>926</v>
      </c>
      <c r="E42" s="89" t="s">
        <v>927</v>
      </c>
      <c r="F42" s="89" t="s">
        <v>95</v>
      </c>
      <c r="G42" s="89" t="s">
        <v>928</v>
      </c>
      <c r="H42" s="89" t="s">
        <v>929</v>
      </c>
      <c r="I42" s="89" t="s">
        <v>96</v>
      </c>
      <c r="J42" s="89" t="s">
        <v>930</v>
      </c>
      <c r="K42" s="90" t="s">
        <v>931</v>
      </c>
      <c r="L42" s="89" t="s">
        <v>99</v>
      </c>
      <c r="M42" s="91" t="s">
        <v>932</v>
      </c>
      <c r="N42" s="89" t="s">
        <v>103</v>
      </c>
      <c r="O42" s="89" t="s">
        <v>613</v>
      </c>
      <c r="P42" s="89" t="s">
        <v>98</v>
      </c>
      <c r="Q42" s="89" t="s">
        <v>101</v>
      </c>
      <c r="R42" s="89" t="s">
        <v>933</v>
      </c>
      <c r="S42" s="89" t="s">
        <v>934</v>
      </c>
      <c r="T42" s="89" t="s">
        <v>935</v>
      </c>
      <c r="U42" s="89" t="s">
        <v>93</v>
      </c>
      <c r="V42" s="89" t="s">
        <v>0</v>
      </c>
      <c r="W42" s="89" t="s">
        <v>936</v>
      </c>
      <c r="X42" s="89" t="s">
        <v>380</v>
      </c>
      <c r="Y42" s="89" t="s">
        <v>102</v>
      </c>
      <c r="Z42" s="89" t="s">
        <v>837</v>
      </c>
      <c r="AA42" s="89" t="s">
        <v>937</v>
      </c>
      <c r="AB42" s="89" t="s">
        <v>71</v>
      </c>
      <c r="AC42" s="16" t="s">
        <v>122</v>
      </c>
      <c r="AD42" s="16" t="s">
        <v>123</v>
      </c>
      <c r="AE42" s="16" t="s">
        <v>126</v>
      </c>
      <c r="AF42" s="16" t="s">
        <v>173</v>
      </c>
      <c r="AG42" s="16" t="s">
        <v>124</v>
      </c>
      <c r="AH42" s="16" t="s">
        <v>125</v>
      </c>
      <c r="AI42" s="16" t="s">
        <v>127</v>
      </c>
      <c r="AJ42" s="16" t="s">
        <v>750</v>
      </c>
      <c r="AL42" t="s">
        <v>481</v>
      </c>
      <c r="AM42" t="s">
        <v>503</v>
      </c>
      <c r="AN42" t="s">
        <v>1201</v>
      </c>
      <c r="AO42" s="144"/>
      <c r="AP42" s="144"/>
      <c r="AQ42" s="144"/>
      <c r="AR42" s="64" t="s">
        <v>1404</v>
      </c>
      <c r="AS42" s="144"/>
      <c r="AT42" s="144"/>
      <c r="AU42" s="144"/>
      <c r="AV42" s="144"/>
      <c r="AW42" s="144"/>
      <c r="AX42" s="144"/>
      <c r="AZ42" s="17" t="s">
        <v>2022</v>
      </c>
      <c r="BA42" s="17">
        <v>1765</v>
      </c>
      <c r="BB42" s="17" t="s">
        <v>1207</v>
      </c>
      <c r="BC42" s="17" t="s">
        <v>2001</v>
      </c>
      <c r="BD42" s="17">
        <v>1080</v>
      </c>
      <c r="BE42" s="17" t="s">
        <v>707</v>
      </c>
      <c r="BZ42" t="s">
        <v>500</v>
      </c>
      <c r="CA42" t="s">
        <v>503</v>
      </c>
      <c r="CB42" t="s">
        <v>1229</v>
      </c>
      <c r="CC42">
        <v>23</v>
      </c>
      <c r="CE42" t="s">
        <v>110</v>
      </c>
      <c r="CF42" t="s">
        <v>557</v>
      </c>
      <c r="CG42" t="s">
        <v>472</v>
      </c>
      <c r="CH42" t="s">
        <v>108</v>
      </c>
      <c r="CI42">
        <v>42</v>
      </c>
      <c r="CJ42" t="s">
        <v>707</v>
      </c>
    </row>
    <row r="43" spans="1:88" ht="12.75" customHeight="1" x14ac:dyDescent="0.25">
      <c r="A43" s="89">
        <v>4030613</v>
      </c>
      <c r="B43" s="90" t="s">
        <v>1464</v>
      </c>
      <c r="C43" s="89" t="s">
        <v>1465</v>
      </c>
      <c r="D43" s="89" t="s">
        <v>420</v>
      </c>
      <c r="E43" s="89" t="s">
        <v>1464</v>
      </c>
      <c r="F43" s="89" t="s">
        <v>1464</v>
      </c>
      <c r="G43" s="89" t="s">
        <v>420</v>
      </c>
      <c r="H43" s="89" t="s">
        <v>957</v>
      </c>
      <c r="I43" s="89" t="s">
        <v>957</v>
      </c>
      <c r="K43" s="90" t="s">
        <v>1466</v>
      </c>
      <c r="L43" s="89">
        <v>12</v>
      </c>
      <c r="M43" s="91">
        <v>43525</v>
      </c>
      <c r="N43" s="89" t="s">
        <v>1384</v>
      </c>
      <c r="O43" s="89" t="s">
        <v>420</v>
      </c>
      <c r="P43" s="89">
        <v>840</v>
      </c>
      <c r="Q43" s="89">
        <v>7856.3</v>
      </c>
      <c r="R43" s="89">
        <v>2.2364241412000001</v>
      </c>
      <c r="S43" s="89">
        <v>5.9974973185555953E-2</v>
      </c>
      <c r="T43" s="89">
        <v>300.03253302388379</v>
      </c>
      <c r="U43" s="89" t="s">
        <v>104</v>
      </c>
      <c r="V43" s="89" t="s">
        <v>939</v>
      </c>
      <c r="W43" s="89" t="s">
        <v>945</v>
      </c>
      <c r="X43" s="89" t="s">
        <v>940</v>
      </c>
      <c r="Y43" s="89" t="s">
        <v>107</v>
      </c>
      <c r="Z43" s="89" t="s">
        <v>86</v>
      </c>
      <c r="AA43" s="89">
        <v>1</v>
      </c>
      <c r="AB43" s="89" t="s">
        <v>97</v>
      </c>
      <c r="AC43" s="17" t="s">
        <v>751</v>
      </c>
      <c r="AD43" s="17" t="s">
        <v>116</v>
      </c>
      <c r="AG43" s="17" t="s">
        <v>960</v>
      </c>
      <c r="AH43" s="17" t="s">
        <v>116</v>
      </c>
      <c r="AL43" t="s">
        <v>482</v>
      </c>
      <c r="AM43" t="s">
        <v>504</v>
      </c>
      <c r="AN43" t="s">
        <v>765</v>
      </c>
      <c r="AO43" s="144"/>
      <c r="AP43" s="144"/>
      <c r="AQ43" s="144"/>
      <c r="AR43" s="190" t="s">
        <v>1405</v>
      </c>
      <c r="AS43" s="144"/>
      <c r="AT43" s="144"/>
      <c r="AU43" s="144"/>
      <c r="AV43" s="144"/>
      <c r="AW43" s="144"/>
      <c r="AX43" s="144"/>
      <c r="AZ43" s="17" t="s">
        <v>1991</v>
      </c>
      <c r="BA43" s="17">
        <v>2140</v>
      </c>
      <c r="BB43" s="17" t="s">
        <v>1207</v>
      </c>
      <c r="BZ43" t="s">
        <v>500</v>
      </c>
      <c r="CA43" t="s">
        <v>504</v>
      </c>
      <c r="CB43" t="s">
        <v>1234</v>
      </c>
      <c r="CC43">
        <v>46</v>
      </c>
      <c r="CE43" t="s">
        <v>110</v>
      </c>
      <c r="CF43" t="s">
        <v>557</v>
      </c>
      <c r="CG43" t="s">
        <v>556</v>
      </c>
      <c r="CH43" t="s">
        <v>108</v>
      </c>
      <c r="CI43">
        <v>43</v>
      </c>
      <c r="CJ43" t="s">
        <v>707</v>
      </c>
    </row>
    <row r="44" spans="1:88" ht="12.75" customHeight="1" x14ac:dyDescent="0.25">
      <c r="A44" s="89">
        <v>4030614</v>
      </c>
      <c r="B44" s="90" t="s">
        <v>1467</v>
      </c>
      <c r="C44" s="89" t="s">
        <v>1468</v>
      </c>
      <c r="D44" s="89" t="s">
        <v>420</v>
      </c>
      <c r="E44" s="89" t="s">
        <v>1467</v>
      </c>
      <c r="F44" s="89" t="s">
        <v>1467</v>
      </c>
      <c r="G44" s="89" t="s">
        <v>420</v>
      </c>
      <c r="H44" s="89" t="s">
        <v>957</v>
      </c>
      <c r="I44" s="89" t="s">
        <v>957</v>
      </c>
      <c r="K44" s="90" t="s">
        <v>1469</v>
      </c>
      <c r="L44" s="89">
        <v>12</v>
      </c>
      <c r="M44" s="91">
        <v>43525</v>
      </c>
      <c r="N44" s="89" t="s">
        <v>1384</v>
      </c>
      <c r="O44" s="89" t="s">
        <v>420</v>
      </c>
      <c r="P44" s="89">
        <v>910</v>
      </c>
      <c r="Q44" s="89">
        <v>9213.5</v>
      </c>
      <c r="R44" s="89">
        <v>2.43056206808</v>
      </c>
      <c r="S44" s="89">
        <v>5.9955588452997782E-2</v>
      </c>
      <c r="T44" s="89">
        <v>299.93062492572625</v>
      </c>
      <c r="U44" s="89" t="s">
        <v>104</v>
      </c>
      <c r="V44" s="89" t="s">
        <v>939</v>
      </c>
      <c r="W44" s="89" t="s">
        <v>945</v>
      </c>
      <c r="X44" s="89" t="s">
        <v>940</v>
      </c>
      <c r="Y44" s="89" t="s">
        <v>107</v>
      </c>
      <c r="Z44" s="89" t="s">
        <v>86</v>
      </c>
      <c r="AA44" s="89">
        <v>1</v>
      </c>
      <c r="AB44" s="89" t="s">
        <v>97</v>
      </c>
      <c r="AC44" s="17" t="s">
        <v>751</v>
      </c>
      <c r="AD44" s="17" t="s">
        <v>117</v>
      </c>
      <c r="AG44" s="17" t="s">
        <v>961</v>
      </c>
      <c r="AH44" s="17" t="s">
        <v>117</v>
      </c>
      <c r="AL44" t="s">
        <v>1189</v>
      </c>
      <c r="AM44" t="s">
        <v>1194</v>
      </c>
      <c r="AN44" t="s">
        <v>766</v>
      </c>
      <c r="AO44" s="144"/>
      <c r="AP44" s="144"/>
      <c r="AQ44" s="144"/>
      <c r="AR44" s="190" t="s">
        <v>108</v>
      </c>
      <c r="AS44" s="144"/>
      <c r="AT44" s="144"/>
      <c r="AU44" s="144"/>
      <c r="AV44" s="144"/>
      <c r="AW44" s="144"/>
      <c r="AX44" s="144"/>
      <c r="BZ44" t="s">
        <v>500</v>
      </c>
      <c r="CA44" t="s">
        <v>1194</v>
      </c>
      <c r="CB44" t="s">
        <v>1230</v>
      </c>
      <c r="CC44">
        <v>69</v>
      </c>
      <c r="CE44" t="s">
        <v>110</v>
      </c>
      <c r="CF44" t="s">
        <v>557</v>
      </c>
      <c r="CG44" t="s">
        <v>559</v>
      </c>
      <c r="CH44" t="s">
        <v>108</v>
      </c>
      <c r="CI44">
        <v>44</v>
      </c>
      <c r="CJ44" t="s">
        <v>707</v>
      </c>
    </row>
    <row r="45" spans="1:88" ht="12.75" customHeight="1" x14ac:dyDescent="0.25">
      <c r="A45" s="89">
        <v>4030615</v>
      </c>
      <c r="B45" s="90" t="s">
        <v>1470</v>
      </c>
      <c r="C45" s="89" t="s">
        <v>1471</v>
      </c>
      <c r="D45" s="89" t="s">
        <v>420</v>
      </c>
      <c r="E45" s="89" t="s">
        <v>1470</v>
      </c>
      <c r="F45" s="89" t="s">
        <v>1470</v>
      </c>
      <c r="G45" s="89" t="s">
        <v>420</v>
      </c>
      <c r="H45" s="89" t="s">
        <v>957</v>
      </c>
      <c r="I45" s="89" t="s">
        <v>957</v>
      </c>
      <c r="K45" s="90" t="s">
        <v>1472</v>
      </c>
      <c r="L45" s="89">
        <v>12</v>
      </c>
      <c r="M45" s="91">
        <v>43525</v>
      </c>
      <c r="N45" s="89" t="s">
        <v>1384</v>
      </c>
      <c r="O45" s="89" t="s">
        <v>420</v>
      </c>
      <c r="P45" s="89">
        <v>985</v>
      </c>
      <c r="Q45" s="89">
        <v>10513</v>
      </c>
      <c r="R45" s="89">
        <v>2.6263991016100001</v>
      </c>
      <c r="S45" s="89">
        <v>5.9974122840398811E-2</v>
      </c>
      <c r="T45" s="89">
        <v>300.03056257403938</v>
      </c>
      <c r="U45" s="89" t="s">
        <v>104</v>
      </c>
      <c r="V45" s="89" t="s">
        <v>939</v>
      </c>
      <c r="W45" s="89" t="s">
        <v>945</v>
      </c>
      <c r="X45" s="89" t="s">
        <v>940</v>
      </c>
      <c r="Y45" s="89" t="s">
        <v>107</v>
      </c>
      <c r="Z45" s="89" t="s">
        <v>86</v>
      </c>
      <c r="AA45" s="89">
        <v>1</v>
      </c>
      <c r="AB45" s="89" t="s">
        <v>97</v>
      </c>
      <c r="AC45" s="17" t="s">
        <v>751</v>
      </c>
      <c r="AD45" s="17" t="s">
        <v>118</v>
      </c>
      <c r="AG45" s="17" t="s">
        <v>962</v>
      </c>
      <c r="AH45" s="17" t="s">
        <v>118</v>
      </c>
      <c r="AL45" t="s">
        <v>1190</v>
      </c>
      <c r="AM45" t="s">
        <v>1195</v>
      </c>
      <c r="AN45" t="s">
        <v>1202</v>
      </c>
      <c r="AO45" s="144"/>
      <c r="AP45" s="144"/>
      <c r="AQ45" s="144"/>
      <c r="AR45" s="64" t="s">
        <v>1406</v>
      </c>
      <c r="AS45" s="144"/>
      <c r="AT45" s="144"/>
      <c r="AU45" s="144"/>
      <c r="AV45" s="144"/>
      <c r="AW45" s="144"/>
      <c r="AX45" s="144"/>
      <c r="BZ45" t="s">
        <v>500</v>
      </c>
      <c r="CA45" t="s">
        <v>1195</v>
      </c>
      <c r="CB45" t="s">
        <v>1235</v>
      </c>
      <c r="CC45">
        <v>92</v>
      </c>
      <c r="CE45" t="s">
        <v>110</v>
      </c>
      <c r="CF45" t="s">
        <v>557</v>
      </c>
      <c r="CG45" t="s">
        <v>560</v>
      </c>
      <c r="CH45" t="s">
        <v>108</v>
      </c>
      <c r="CI45">
        <v>45</v>
      </c>
      <c r="CJ45" t="s">
        <v>707</v>
      </c>
    </row>
    <row r="46" spans="1:88" ht="12.75" customHeight="1" x14ac:dyDescent="0.25">
      <c r="A46" s="89">
        <v>4030616</v>
      </c>
      <c r="B46" s="90" t="s">
        <v>1473</v>
      </c>
      <c r="C46" s="89" t="s">
        <v>1474</v>
      </c>
      <c r="D46" s="89" t="s">
        <v>420</v>
      </c>
      <c r="E46" s="89" t="s">
        <v>1473</v>
      </c>
      <c r="F46" s="89" t="s">
        <v>1473</v>
      </c>
      <c r="G46" s="89" t="s">
        <v>420</v>
      </c>
      <c r="H46" s="89" t="s">
        <v>957</v>
      </c>
      <c r="I46" s="89" t="s">
        <v>957</v>
      </c>
      <c r="K46" s="90" t="s">
        <v>1475</v>
      </c>
      <c r="L46" s="89">
        <v>12</v>
      </c>
      <c r="M46" s="91">
        <v>43525</v>
      </c>
      <c r="N46" s="89" t="s">
        <v>1384</v>
      </c>
      <c r="O46" s="89" t="s">
        <v>420</v>
      </c>
      <c r="P46" s="89">
        <v>1138</v>
      </c>
      <c r="Q46" s="89">
        <v>11818.6</v>
      </c>
      <c r="R46" s="89">
        <v>3.0322856960599998</v>
      </c>
      <c r="S46" s="89">
        <v>5.9990770650669129E-2</v>
      </c>
      <c r="T46" s="89">
        <v>300.10364827509773</v>
      </c>
      <c r="U46" s="89" t="s">
        <v>104</v>
      </c>
      <c r="V46" s="89" t="s">
        <v>939</v>
      </c>
      <c r="W46" s="89" t="s">
        <v>945</v>
      </c>
      <c r="X46" s="89" t="s">
        <v>940</v>
      </c>
      <c r="Y46" s="89" t="s">
        <v>107</v>
      </c>
      <c r="Z46" s="89" t="s">
        <v>86</v>
      </c>
      <c r="AA46" s="89">
        <v>1</v>
      </c>
      <c r="AB46" s="89" t="s">
        <v>97</v>
      </c>
      <c r="AC46" s="17" t="s">
        <v>751</v>
      </c>
      <c r="AD46" s="17" t="s">
        <v>119</v>
      </c>
      <c r="AG46" s="17" t="s">
        <v>963</v>
      </c>
      <c r="AH46" s="17" t="s">
        <v>119</v>
      </c>
      <c r="AL46" t="s">
        <v>483</v>
      </c>
      <c r="AM46" t="s">
        <v>505</v>
      </c>
      <c r="AN46" t="s">
        <v>1286</v>
      </c>
      <c r="AO46" s="144"/>
      <c r="AP46" s="144"/>
      <c r="AQ46" s="144"/>
      <c r="AR46" s="144"/>
      <c r="AS46" s="144"/>
      <c r="AT46" s="144"/>
      <c r="AU46" s="144"/>
      <c r="AV46" s="144"/>
      <c r="AW46" s="144"/>
      <c r="AX46" s="144"/>
      <c r="AZ46" s="205" t="s">
        <v>92</v>
      </c>
      <c r="BA46" s="205" t="s">
        <v>724</v>
      </c>
      <c r="BB46" s="205" t="s">
        <v>1681</v>
      </c>
      <c r="BC46" s="317" t="s">
        <v>98</v>
      </c>
      <c r="BD46" s="317" t="s">
        <v>1676</v>
      </c>
      <c r="BE46" s="317" t="s">
        <v>100</v>
      </c>
      <c r="BF46" s="205" t="s">
        <v>1675</v>
      </c>
      <c r="BG46" s="205" t="s">
        <v>1689</v>
      </c>
      <c r="BH46" s="205" t="s">
        <v>2127</v>
      </c>
      <c r="BZ46" t="s">
        <v>500</v>
      </c>
      <c r="CA46" t="s">
        <v>505</v>
      </c>
      <c r="CB46" t="s">
        <v>135</v>
      </c>
      <c r="CC46">
        <v>32</v>
      </c>
      <c r="CE46" t="s">
        <v>110</v>
      </c>
      <c r="CF46" t="s">
        <v>558</v>
      </c>
      <c r="CG46" t="s">
        <v>472</v>
      </c>
      <c r="CH46" t="s">
        <v>108</v>
      </c>
      <c r="CI46">
        <v>46</v>
      </c>
      <c r="CJ46" t="s">
        <v>707</v>
      </c>
    </row>
    <row r="47" spans="1:88" ht="12.75" customHeight="1" x14ac:dyDescent="0.25">
      <c r="A47" s="89">
        <v>4030510</v>
      </c>
      <c r="B47" s="90" t="s">
        <v>1476</v>
      </c>
      <c r="C47" s="89" t="s">
        <v>1477</v>
      </c>
      <c r="D47" s="89" t="s">
        <v>420</v>
      </c>
      <c r="E47" s="89" t="s">
        <v>1476</v>
      </c>
      <c r="F47" s="89" t="s">
        <v>1476</v>
      </c>
      <c r="G47" s="89" t="s">
        <v>420</v>
      </c>
      <c r="H47" s="89" t="s">
        <v>957</v>
      </c>
      <c r="I47" s="89" t="s">
        <v>957</v>
      </c>
      <c r="K47" s="90" t="s">
        <v>1478</v>
      </c>
      <c r="L47" s="89">
        <v>12</v>
      </c>
      <c r="M47" s="91">
        <v>43525</v>
      </c>
      <c r="N47" s="89" t="s">
        <v>1384</v>
      </c>
      <c r="O47" s="89" t="s">
        <v>420</v>
      </c>
      <c r="P47" s="89">
        <v>496</v>
      </c>
      <c r="Q47" s="89">
        <v>4438.3</v>
      </c>
      <c r="R47" s="89">
        <v>1.3241038176</v>
      </c>
      <c r="S47" s="89">
        <v>5.9933574879227056E-2</v>
      </c>
      <c r="T47" s="89">
        <v>299.82543266099862</v>
      </c>
      <c r="U47" s="89" t="s">
        <v>104</v>
      </c>
      <c r="V47" s="89" t="s">
        <v>939</v>
      </c>
      <c r="W47" s="89" t="s">
        <v>945</v>
      </c>
      <c r="X47" s="89" t="s">
        <v>940</v>
      </c>
      <c r="Y47" s="89" t="s">
        <v>107</v>
      </c>
      <c r="Z47" s="89" t="s">
        <v>86</v>
      </c>
      <c r="AA47" s="89">
        <v>1</v>
      </c>
      <c r="AB47" s="89" t="s">
        <v>97</v>
      </c>
      <c r="AC47" s="17" t="s">
        <v>751</v>
      </c>
      <c r="AD47" s="17" t="s">
        <v>752</v>
      </c>
      <c r="AG47" s="17" t="s">
        <v>1382</v>
      </c>
      <c r="AH47" s="17" t="s">
        <v>1383</v>
      </c>
      <c r="AL47" t="s">
        <v>484</v>
      </c>
      <c r="AM47" t="s">
        <v>506</v>
      </c>
      <c r="AN47" t="s">
        <v>1287</v>
      </c>
      <c r="AO47" s="144"/>
      <c r="AP47" s="144"/>
      <c r="AQ47" s="144"/>
      <c r="AR47" s="144"/>
      <c r="AS47" s="144"/>
      <c r="AT47" s="144"/>
      <c r="AU47" s="144"/>
      <c r="AV47" s="144"/>
      <c r="AW47" s="144"/>
      <c r="AX47" s="144"/>
      <c r="AZ47" s="205">
        <v>4060220</v>
      </c>
      <c r="BA47" s="205" t="s">
        <v>1690</v>
      </c>
      <c r="BB47" s="205" t="s">
        <v>1682</v>
      </c>
      <c r="BC47" s="318">
        <v>0.09</v>
      </c>
      <c r="BD47" s="318">
        <v>0.24</v>
      </c>
      <c r="BE47" s="318">
        <v>10</v>
      </c>
      <c r="BF47" s="205" t="s">
        <v>105</v>
      </c>
      <c r="BG47" s="205">
        <v>60</v>
      </c>
      <c r="BH47" s="205">
        <v>0.11</v>
      </c>
      <c r="BZ47" t="s">
        <v>500</v>
      </c>
      <c r="CA47" t="s">
        <v>506</v>
      </c>
      <c r="CB47" t="s">
        <v>1231</v>
      </c>
      <c r="CC47">
        <v>59</v>
      </c>
      <c r="CE47" t="s">
        <v>110</v>
      </c>
      <c r="CF47" t="s">
        <v>558</v>
      </c>
      <c r="CG47" t="s">
        <v>556</v>
      </c>
      <c r="CH47" t="s">
        <v>108</v>
      </c>
      <c r="CI47">
        <v>47</v>
      </c>
      <c r="CJ47" t="s">
        <v>707</v>
      </c>
    </row>
    <row r="48" spans="1:88" ht="12.75" customHeight="1" x14ac:dyDescent="0.25">
      <c r="A48" s="202">
        <v>4030710</v>
      </c>
      <c r="B48" s="203" t="s">
        <v>1683</v>
      </c>
      <c r="C48" s="202" t="s">
        <v>1684</v>
      </c>
      <c r="D48" s="202" t="s">
        <v>420</v>
      </c>
      <c r="E48" s="202"/>
      <c r="F48" s="202"/>
      <c r="G48" s="202" t="s">
        <v>420</v>
      </c>
      <c r="H48" s="202" t="s">
        <v>1685</v>
      </c>
      <c r="I48" s="202" t="s">
        <v>1685</v>
      </c>
      <c r="J48" s="202"/>
      <c r="K48" s="203" t="s">
        <v>1686</v>
      </c>
      <c r="L48" s="202">
        <v>15</v>
      </c>
      <c r="M48" s="204">
        <v>44013</v>
      </c>
      <c r="N48" s="202" t="s">
        <v>1384</v>
      </c>
      <c r="O48" s="320" t="s">
        <v>420</v>
      </c>
      <c r="P48" s="320">
        <v>312</v>
      </c>
      <c r="Q48" s="202">
        <v>4197</v>
      </c>
      <c r="R48" s="202"/>
      <c r="S48" s="202"/>
      <c r="T48" s="202"/>
      <c r="U48" s="202"/>
      <c r="V48" s="202"/>
      <c r="W48" s="202"/>
      <c r="X48" s="202"/>
      <c r="Y48" s="202"/>
      <c r="Z48" s="202" t="s">
        <v>86</v>
      </c>
      <c r="AA48" s="202"/>
      <c r="AB48" s="202" t="s">
        <v>1367</v>
      </c>
      <c r="AC48" s="205" t="s">
        <v>1687</v>
      </c>
      <c r="AD48" s="205"/>
      <c r="AE48" s="205"/>
      <c r="AF48" s="205"/>
      <c r="AG48" s="205" t="s">
        <v>1683</v>
      </c>
      <c r="AH48" s="205"/>
      <c r="AI48" s="205"/>
      <c r="AJ48" s="205"/>
      <c r="AL48" t="s">
        <v>485</v>
      </c>
      <c r="AM48" t="s">
        <v>507</v>
      </c>
      <c r="AN48" s="17" t="s">
        <v>2099</v>
      </c>
      <c r="AO48" s="144"/>
      <c r="AQ48" s="144"/>
      <c r="AR48" s="144"/>
      <c r="AS48" s="144"/>
      <c r="AT48" s="144"/>
      <c r="AU48" s="144"/>
      <c r="AV48" s="144"/>
      <c r="AW48" s="144"/>
      <c r="AX48" s="144"/>
      <c r="AZ48" s="205">
        <v>4060221</v>
      </c>
      <c r="BA48" s="205" t="s">
        <v>1701</v>
      </c>
      <c r="BB48" s="205" t="s">
        <v>1682</v>
      </c>
      <c r="BC48" s="319">
        <v>0.09</v>
      </c>
      <c r="BD48" s="319">
        <v>0.24</v>
      </c>
      <c r="BE48" s="319">
        <v>10</v>
      </c>
      <c r="BF48" s="205" t="s">
        <v>105</v>
      </c>
      <c r="BG48" s="205">
        <v>150</v>
      </c>
      <c r="BH48" s="205">
        <v>0.11</v>
      </c>
      <c r="BZ48" t="s">
        <v>500</v>
      </c>
      <c r="CA48" t="s">
        <v>507</v>
      </c>
      <c r="CB48" t="s">
        <v>137</v>
      </c>
      <c r="CC48">
        <v>88</v>
      </c>
      <c r="CE48" t="s">
        <v>110</v>
      </c>
      <c r="CF48" t="s">
        <v>558</v>
      </c>
      <c r="CG48" t="s">
        <v>559</v>
      </c>
      <c r="CH48" t="s">
        <v>108</v>
      </c>
      <c r="CI48">
        <v>48</v>
      </c>
      <c r="CJ48" t="s">
        <v>707</v>
      </c>
    </row>
    <row r="49" spans="1:88" ht="12.75" customHeight="1" x14ac:dyDescent="0.25">
      <c r="AL49" t="s">
        <v>486</v>
      </c>
      <c r="AM49" t="s">
        <v>508</v>
      </c>
      <c r="AN49" s="17" t="s">
        <v>2100</v>
      </c>
      <c r="AO49" s="144"/>
      <c r="AQ49" s="144"/>
      <c r="AR49" s="144"/>
      <c r="AS49" s="144"/>
      <c r="AT49" s="144"/>
      <c r="AU49" s="144"/>
      <c r="AV49" s="144"/>
      <c r="AW49" s="144"/>
      <c r="AX49" s="144"/>
      <c r="BZ49" t="s">
        <v>500</v>
      </c>
      <c r="CA49" t="s">
        <v>508</v>
      </c>
      <c r="CB49" t="s">
        <v>138</v>
      </c>
      <c r="CC49">
        <v>114</v>
      </c>
      <c r="CE49" t="s">
        <v>110</v>
      </c>
      <c r="CF49" t="s">
        <v>558</v>
      </c>
      <c r="CG49" t="s">
        <v>560</v>
      </c>
      <c r="CH49" t="s">
        <v>108</v>
      </c>
      <c r="CI49">
        <v>49</v>
      </c>
      <c r="CJ49" t="s">
        <v>707</v>
      </c>
    </row>
    <row r="50" spans="1:88" ht="12.75" customHeight="1" x14ac:dyDescent="0.25">
      <c r="AL50" t="s">
        <v>1130</v>
      </c>
      <c r="AM50" t="s">
        <v>1196</v>
      </c>
      <c r="AN50" s="17" t="s">
        <v>708</v>
      </c>
      <c r="AO50" s="144"/>
      <c r="AQ50" s="144"/>
      <c r="AR50" s="144"/>
      <c r="AS50" s="144"/>
      <c r="AT50" s="144"/>
      <c r="AU50" s="144"/>
      <c r="AV50" s="144"/>
      <c r="AW50" s="144"/>
      <c r="AX50" s="144"/>
      <c r="BZ50" t="s">
        <v>500</v>
      </c>
      <c r="CA50" t="s">
        <v>1196</v>
      </c>
      <c r="CB50" t="s">
        <v>1127</v>
      </c>
      <c r="CC50">
        <v>175</v>
      </c>
      <c r="CE50" t="s">
        <v>110</v>
      </c>
      <c r="CF50" t="s">
        <v>558</v>
      </c>
      <c r="CG50" t="s">
        <v>566</v>
      </c>
      <c r="CH50" t="s">
        <v>108</v>
      </c>
      <c r="CI50">
        <v>50</v>
      </c>
      <c r="CJ50" t="s">
        <v>707</v>
      </c>
    </row>
    <row r="51" spans="1:88" ht="12.75" customHeight="1" x14ac:dyDescent="0.25">
      <c r="AL51" t="s">
        <v>1272</v>
      </c>
      <c r="AM51" t="s">
        <v>1197</v>
      </c>
      <c r="AN51" s="17" t="s">
        <v>709</v>
      </c>
      <c r="AO51" s="144"/>
      <c r="AQ51" s="144"/>
      <c r="AR51" s="144"/>
      <c r="AS51" s="144"/>
      <c r="AT51" s="144"/>
      <c r="AU51" s="144"/>
      <c r="AV51" s="144"/>
      <c r="AW51" s="144"/>
      <c r="AX51" s="144"/>
      <c r="BZ51" t="s">
        <v>500</v>
      </c>
      <c r="CA51" t="s">
        <v>1197</v>
      </c>
      <c r="CB51" t="s">
        <v>1180</v>
      </c>
      <c r="CC51">
        <v>221</v>
      </c>
      <c r="CE51" t="s">
        <v>110</v>
      </c>
      <c r="CF51" t="s">
        <v>558</v>
      </c>
      <c r="CG51" t="s">
        <v>566</v>
      </c>
      <c r="CH51" t="s">
        <v>108</v>
      </c>
      <c r="CI51">
        <v>51</v>
      </c>
      <c r="CJ51" t="s">
        <v>706</v>
      </c>
    </row>
    <row r="52" spans="1:88" ht="12.75" customHeight="1" x14ac:dyDescent="0.25">
      <c r="A52" s="89" t="s">
        <v>1362</v>
      </c>
      <c r="B52" s="90" t="s">
        <v>1358</v>
      </c>
      <c r="D52" s="89" t="s">
        <v>724</v>
      </c>
      <c r="E52" s="89" t="s">
        <v>923</v>
      </c>
      <c r="F52" s="89" t="s">
        <v>1381</v>
      </c>
      <c r="G52" s="89" t="s">
        <v>98</v>
      </c>
      <c r="H52" s="89" t="s">
        <v>1386</v>
      </c>
      <c r="I52" s="89" t="s">
        <v>1385</v>
      </c>
      <c r="J52" s="89" t="s">
        <v>1360</v>
      </c>
      <c r="K52" s="89" t="s">
        <v>1361</v>
      </c>
      <c r="L52" s="89" t="s">
        <v>613</v>
      </c>
      <c r="M52" s="89" t="s">
        <v>122</v>
      </c>
      <c r="N52" s="89" t="s">
        <v>97</v>
      </c>
      <c r="AL52" s="194" t="s">
        <v>1273</v>
      </c>
      <c r="AM52" t="s">
        <v>1198</v>
      </c>
      <c r="AN52" s="17" t="s">
        <v>1203</v>
      </c>
      <c r="AO52" s="144"/>
      <c r="AQ52" s="144"/>
      <c r="AR52" s="144"/>
      <c r="AS52" s="144"/>
      <c r="AT52" s="144"/>
      <c r="AU52" s="144"/>
      <c r="AV52" s="144"/>
      <c r="AZ52" s="426" t="s">
        <v>1898</v>
      </c>
      <c r="BA52" s="426" t="s">
        <v>1899</v>
      </c>
      <c r="BB52" s="426" t="s">
        <v>1900</v>
      </c>
      <c r="BC52" s="426" t="s">
        <v>569</v>
      </c>
      <c r="BD52" s="426" t="s">
        <v>576</v>
      </c>
      <c r="BE52" s="426" t="s">
        <v>584</v>
      </c>
      <c r="BF52" s="426" t="s">
        <v>2029</v>
      </c>
      <c r="BG52" s="426" t="s">
        <v>1158</v>
      </c>
      <c r="BH52" s="426" t="s">
        <v>1157</v>
      </c>
      <c r="BI52" s="426" t="s">
        <v>1156</v>
      </c>
      <c r="BZ52" t="s">
        <v>500</v>
      </c>
      <c r="CA52" t="s">
        <v>1198</v>
      </c>
      <c r="CB52" t="s">
        <v>1237</v>
      </c>
      <c r="CC52">
        <v>292</v>
      </c>
      <c r="CE52" t="s">
        <v>110</v>
      </c>
      <c r="CF52" t="s">
        <v>558</v>
      </c>
      <c r="CG52" t="s">
        <v>567</v>
      </c>
      <c r="CH52" t="s">
        <v>108</v>
      </c>
      <c r="CI52">
        <v>52</v>
      </c>
      <c r="CJ52" t="s">
        <v>706</v>
      </c>
    </row>
    <row r="53" spans="1:88" ht="12.75" customHeight="1" x14ac:dyDescent="0.25">
      <c r="A53" s="89" t="s">
        <v>1764</v>
      </c>
      <c r="B53" s="90" t="s">
        <v>1359</v>
      </c>
      <c r="D53" s="89" t="s">
        <v>1764</v>
      </c>
      <c r="E53" s="202">
        <v>4051910</v>
      </c>
      <c r="F53" s="321">
        <v>69.400000000000006</v>
      </c>
      <c r="G53" s="202">
        <v>25</v>
      </c>
      <c r="H53" s="89">
        <v>13</v>
      </c>
      <c r="I53" s="89">
        <v>100</v>
      </c>
      <c r="J53" s="89">
        <v>0</v>
      </c>
      <c r="K53" s="89">
        <v>64</v>
      </c>
      <c r="L53" s="89" t="s">
        <v>421</v>
      </c>
      <c r="M53" s="89" t="s">
        <v>1705</v>
      </c>
      <c r="N53" s="89" t="s">
        <v>1626</v>
      </c>
      <c r="AL53" t="s">
        <v>1251</v>
      </c>
      <c r="AM53" t="s">
        <v>1276</v>
      </c>
      <c r="AN53" s="17" t="s">
        <v>710</v>
      </c>
      <c r="AO53" s="144"/>
      <c r="AQ53" s="144"/>
      <c r="AR53" s="144"/>
      <c r="AS53" s="144"/>
      <c r="AT53" s="144"/>
      <c r="AU53" s="144"/>
      <c r="AV53" s="144"/>
      <c r="AZ53" s="17" t="s">
        <v>479</v>
      </c>
      <c r="BA53" s="17" t="s">
        <v>501</v>
      </c>
      <c r="BB53" s="17" t="s">
        <v>1261</v>
      </c>
      <c r="BC53" s="17" t="s">
        <v>1982</v>
      </c>
      <c r="BD53" s="17" t="s">
        <v>1992</v>
      </c>
      <c r="BE53" s="17" t="s">
        <v>2002</v>
      </c>
      <c r="BF53" s="17" t="s">
        <v>2010</v>
      </c>
      <c r="BG53" s="17" t="s">
        <v>2104</v>
      </c>
      <c r="BH53" s="17" t="s">
        <v>1975</v>
      </c>
      <c r="BI53" s="17" t="s">
        <v>1905</v>
      </c>
      <c r="BZ53" t="s">
        <v>500</v>
      </c>
      <c r="CA53" t="s">
        <v>1276</v>
      </c>
      <c r="CB53" t="s">
        <v>1280</v>
      </c>
      <c r="CC53">
        <v>39</v>
      </c>
      <c r="CE53" t="s">
        <v>110</v>
      </c>
      <c r="CF53" t="s">
        <v>1258</v>
      </c>
      <c r="CG53" t="s">
        <v>472</v>
      </c>
      <c r="CH53" t="s">
        <v>108</v>
      </c>
      <c r="CI53">
        <v>53</v>
      </c>
      <c r="CJ53" t="s">
        <v>1207</v>
      </c>
    </row>
    <row r="54" spans="1:88" ht="12.75" customHeight="1" x14ac:dyDescent="0.25">
      <c r="A54" s="89" t="s">
        <v>1765</v>
      </c>
      <c r="D54" s="89" t="s">
        <v>1765</v>
      </c>
      <c r="E54" s="202">
        <v>4051921</v>
      </c>
      <c r="F54" s="321">
        <v>92.5</v>
      </c>
      <c r="G54" s="89">
        <v>25</v>
      </c>
      <c r="H54" s="89">
        <v>11.2</v>
      </c>
      <c r="I54" s="89">
        <v>100</v>
      </c>
      <c r="J54" s="89">
        <v>65</v>
      </c>
      <c r="K54" s="89">
        <v>134</v>
      </c>
      <c r="L54" s="89" t="s">
        <v>421</v>
      </c>
      <c r="M54" s="89" t="s">
        <v>1706</v>
      </c>
      <c r="N54" s="89" t="s">
        <v>1626</v>
      </c>
      <c r="AL54" t="s">
        <v>1252</v>
      </c>
      <c r="AM54" t="s">
        <v>1277</v>
      </c>
      <c r="AN54" s="17" t="s">
        <v>711</v>
      </c>
      <c r="AO54" s="144"/>
      <c r="AQ54" s="144"/>
      <c r="AR54" s="144"/>
      <c r="AS54" s="144"/>
      <c r="AT54" s="144"/>
      <c r="AU54" s="144"/>
      <c r="AV54" s="144"/>
      <c r="AZ54" s="17" t="s">
        <v>480</v>
      </c>
      <c r="BA54" s="17" t="s">
        <v>502</v>
      </c>
      <c r="BB54" s="17" t="s">
        <v>1262</v>
      </c>
      <c r="BC54" s="17" t="s">
        <v>1983</v>
      </c>
      <c r="BD54" s="17" t="s">
        <v>1993</v>
      </c>
      <c r="BE54" s="17" t="s">
        <v>2003</v>
      </c>
      <c r="BF54" s="17" t="s">
        <v>2011</v>
      </c>
      <c r="BI54" s="17" t="s">
        <v>1904</v>
      </c>
      <c r="BZ54" t="s">
        <v>500</v>
      </c>
      <c r="CA54" t="s">
        <v>1277</v>
      </c>
      <c r="CB54" t="s">
        <v>1281</v>
      </c>
      <c r="CC54">
        <v>75</v>
      </c>
      <c r="CE54" t="s">
        <v>110</v>
      </c>
      <c r="CF54" t="s">
        <v>1258</v>
      </c>
      <c r="CG54" t="s">
        <v>556</v>
      </c>
      <c r="CH54" t="s">
        <v>108</v>
      </c>
      <c r="CI54">
        <v>54</v>
      </c>
      <c r="CJ54" t="s">
        <v>1207</v>
      </c>
    </row>
    <row r="55" spans="1:88" ht="12.75" customHeight="1" x14ac:dyDescent="0.25">
      <c r="A55" s="89" t="s">
        <v>1766</v>
      </c>
      <c r="D55" s="89" t="s">
        <v>1766</v>
      </c>
      <c r="E55" s="202">
        <v>4051922</v>
      </c>
      <c r="F55" s="321">
        <v>95.7</v>
      </c>
      <c r="G55" s="202">
        <v>32</v>
      </c>
      <c r="H55" s="89">
        <v>11</v>
      </c>
      <c r="I55" s="89">
        <v>100</v>
      </c>
      <c r="J55" s="89">
        <v>135</v>
      </c>
      <c r="K55" s="89">
        <v>239</v>
      </c>
      <c r="L55" s="89" t="s">
        <v>421</v>
      </c>
      <c r="M55" s="89" t="s">
        <v>1707</v>
      </c>
      <c r="N55" s="89" t="s">
        <v>1626</v>
      </c>
      <c r="AL55" t="s">
        <v>487</v>
      </c>
      <c r="AM55" t="s">
        <v>1278</v>
      </c>
      <c r="AN55" s="17" t="s">
        <v>712</v>
      </c>
      <c r="AR55" s="144"/>
      <c r="AZ55" s="17" t="s">
        <v>1187</v>
      </c>
      <c r="BA55" s="17" t="s">
        <v>1192</v>
      </c>
      <c r="BB55" s="17" t="s">
        <v>763</v>
      </c>
      <c r="BC55" s="17" t="s">
        <v>1984</v>
      </c>
      <c r="BD55" s="17" t="s">
        <v>1994</v>
      </c>
      <c r="BE55" s="17" t="s">
        <v>2004</v>
      </c>
      <c r="BF55" s="17" t="s">
        <v>2012</v>
      </c>
      <c r="BI55" s="17" t="s">
        <v>1903</v>
      </c>
      <c r="BZ55" t="s">
        <v>500</v>
      </c>
      <c r="CA55" t="s">
        <v>1278</v>
      </c>
      <c r="CB55" t="s">
        <v>1282</v>
      </c>
      <c r="CC55">
        <v>107</v>
      </c>
      <c r="CE55" t="s">
        <v>110</v>
      </c>
      <c r="CF55" t="s">
        <v>1258</v>
      </c>
      <c r="CG55" s="429" t="s">
        <v>559</v>
      </c>
      <c r="CH55" t="s">
        <v>108</v>
      </c>
      <c r="CI55">
        <v>55</v>
      </c>
      <c r="CJ55" t="s">
        <v>1207</v>
      </c>
    </row>
    <row r="56" spans="1:88" ht="12.75" customHeight="1" x14ac:dyDescent="0.25">
      <c r="A56" s="89" t="s">
        <v>1767</v>
      </c>
      <c r="D56" s="89" t="s">
        <v>1767</v>
      </c>
      <c r="E56" s="202">
        <v>4051923</v>
      </c>
      <c r="F56" s="321">
        <v>114.9</v>
      </c>
      <c r="G56" s="202">
        <v>32</v>
      </c>
      <c r="H56" s="202">
        <v>9.9</v>
      </c>
      <c r="I56" s="89">
        <v>100</v>
      </c>
      <c r="J56" s="89">
        <v>240</v>
      </c>
      <c r="K56" s="89">
        <v>759</v>
      </c>
      <c r="L56" s="89" t="s">
        <v>421</v>
      </c>
      <c r="M56" s="89" t="s">
        <v>1708</v>
      </c>
      <c r="N56" s="89" t="s">
        <v>1626</v>
      </c>
      <c r="AL56" t="s">
        <v>488</v>
      </c>
      <c r="AM56" t="s">
        <v>1279</v>
      </c>
      <c r="AN56" s="17" t="s">
        <v>713</v>
      </c>
      <c r="AR56" s="144"/>
      <c r="AZ56" s="17" t="s">
        <v>1188</v>
      </c>
      <c r="BA56" s="17" t="s">
        <v>1193</v>
      </c>
      <c r="BB56" s="17" t="s">
        <v>764</v>
      </c>
      <c r="BC56" s="17" t="s">
        <v>1985</v>
      </c>
      <c r="BD56" s="17" t="s">
        <v>1995</v>
      </c>
      <c r="BE56" s="17" t="s">
        <v>2005</v>
      </c>
      <c r="BF56" s="17" t="s">
        <v>2013</v>
      </c>
      <c r="BI56" s="17" t="s">
        <v>1979</v>
      </c>
      <c r="BZ56" t="s">
        <v>500</v>
      </c>
      <c r="CA56" t="s">
        <v>1279</v>
      </c>
      <c r="CB56" t="s">
        <v>1283</v>
      </c>
      <c r="CC56">
        <v>116</v>
      </c>
      <c r="CE56" t="s">
        <v>110</v>
      </c>
      <c r="CF56" t="s">
        <v>1258</v>
      </c>
      <c r="CG56" t="s">
        <v>560</v>
      </c>
      <c r="CH56" t="s">
        <v>108</v>
      </c>
      <c r="CI56">
        <v>56</v>
      </c>
      <c r="CJ56" t="s">
        <v>1207</v>
      </c>
    </row>
    <row r="57" spans="1:88" ht="12.75" customHeight="1" x14ac:dyDescent="0.25">
      <c r="A57" s="89" t="s">
        <v>1768</v>
      </c>
      <c r="D57" s="89" t="s">
        <v>1768</v>
      </c>
      <c r="E57" s="202">
        <v>4051924</v>
      </c>
      <c r="F57" s="321">
        <v>121.7</v>
      </c>
      <c r="G57" s="202">
        <v>32</v>
      </c>
      <c r="H57" s="202">
        <v>9.6</v>
      </c>
      <c r="I57" s="89">
        <v>100</v>
      </c>
      <c r="J57" s="89">
        <v>760</v>
      </c>
      <c r="K57" s="89">
        <v>99999</v>
      </c>
      <c r="L57" s="89" t="s">
        <v>421</v>
      </c>
      <c r="M57" s="89" t="s">
        <v>1709</v>
      </c>
      <c r="N57" s="89" t="s">
        <v>1626</v>
      </c>
      <c r="AL57" t="s">
        <v>489</v>
      </c>
      <c r="AM57" t="s">
        <v>1256</v>
      </c>
      <c r="AR57" s="144"/>
      <c r="AZ57" s="17" t="s">
        <v>481</v>
      </c>
      <c r="BA57" s="17" t="s">
        <v>503</v>
      </c>
      <c r="BB57" s="17" t="s">
        <v>1201</v>
      </c>
      <c r="BC57" s="17" t="s">
        <v>1986</v>
      </c>
      <c r="BD57" s="17" t="s">
        <v>1996</v>
      </c>
      <c r="BE57" s="17" t="s">
        <v>2006</v>
      </c>
      <c r="BF57" s="17" t="s">
        <v>2014</v>
      </c>
      <c r="BZ57" t="s">
        <v>500</v>
      </c>
      <c r="CA57" t="s">
        <v>1256</v>
      </c>
      <c r="CB57" t="s">
        <v>1284</v>
      </c>
      <c r="CC57">
        <v>50</v>
      </c>
      <c r="CE57" t="s">
        <v>110</v>
      </c>
      <c r="CF57" t="s">
        <v>1255</v>
      </c>
      <c r="CG57" t="s">
        <v>472</v>
      </c>
      <c r="CH57" t="s">
        <v>108</v>
      </c>
      <c r="CI57">
        <v>57</v>
      </c>
      <c r="CJ57" t="s">
        <v>1207</v>
      </c>
    </row>
    <row r="58" spans="1:88" ht="12.75" customHeight="1" x14ac:dyDescent="0.25">
      <c r="A58" s="89" t="s">
        <v>1769</v>
      </c>
      <c r="D58" s="89" t="s">
        <v>1769</v>
      </c>
      <c r="E58" s="89">
        <v>4050310</v>
      </c>
      <c r="F58" s="321">
        <v>69.400000000000006</v>
      </c>
      <c r="G58" s="202">
        <v>25</v>
      </c>
      <c r="H58" s="89">
        <v>13</v>
      </c>
      <c r="I58" s="89">
        <v>100</v>
      </c>
      <c r="J58" s="89">
        <v>0</v>
      </c>
      <c r="K58" s="89">
        <v>64</v>
      </c>
      <c r="L58" s="89" t="s">
        <v>111</v>
      </c>
      <c r="M58" s="89" t="s">
        <v>1621</v>
      </c>
      <c r="N58" s="89" t="s">
        <v>1626</v>
      </c>
      <c r="AL58" t="s">
        <v>490</v>
      </c>
      <c r="AM58" t="s">
        <v>1257</v>
      </c>
      <c r="AR58" s="144"/>
      <c r="AZ58" s="17" t="s">
        <v>482</v>
      </c>
      <c r="BA58" s="17" t="s">
        <v>504</v>
      </c>
      <c r="BB58" s="17" t="s">
        <v>765</v>
      </c>
      <c r="BC58" s="17" t="s">
        <v>1987</v>
      </c>
      <c r="BD58" s="17" t="s">
        <v>1997</v>
      </c>
      <c r="BE58" s="17" t="s">
        <v>2007</v>
      </c>
      <c r="BF58" s="17" t="s">
        <v>2015</v>
      </c>
      <c r="BZ58" t="s">
        <v>500</v>
      </c>
      <c r="CA58" t="s">
        <v>1257</v>
      </c>
      <c r="CB58" t="s">
        <v>1285</v>
      </c>
      <c r="CC58">
        <v>88</v>
      </c>
      <c r="CE58" t="s">
        <v>110</v>
      </c>
      <c r="CF58" t="s">
        <v>1255</v>
      </c>
      <c r="CG58" t="s">
        <v>556</v>
      </c>
      <c r="CH58" t="s">
        <v>108</v>
      </c>
      <c r="CI58">
        <v>58</v>
      </c>
      <c r="CJ58" t="s">
        <v>1207</v>
      </c>
    </row>
    <row r="59" spans="1:88" ht="12.75" customHeight="1" x14ac:dyDescent="0.25">
      <c r="A59" s="89" t="s">
        <v>1770</v>
      </c>
      <c r="D59" s="89" t="s">
        <v>1770</v>
      </c>
      <c r="E59" s="202">
        <v>4050321</v>
      </c>
      <c r="F59" s="321">
        <v>95.7</v>
      </c>
      <c r="G59" s="202">
        <v>32</v>
      </c>
      <c r="H59" s="202">
        <v>11.2</v>
      </c>
      <c r="I59" s="89">
        <v>100</v>
      </c>
      <c r="J59" s="89">
        <v>65</v>
      </c>
      <c r="K59" s="89">
        <v>134</v>
      </c>
      <c r="L59" s="89" t="s">
        <v>111</v>
      </c>
      <c r="M59" s="89" t="s">
        <v>1644</v>
      </c>
      <c r="N59" s="89" t="s">
        <v>1626</v>
      </c>
      <c r="AL59" s="284" t="s">
        <v>1550</v>
      </c>
      <c r="AM59" t="s">
        <v>509</v>
      </c>
      <c r="AR59" s="144"/>
      <c r="AZ59" s="17" t="s">
        <v>1189</v>
      </c>
      <c r="BA59" s="17" t="s">
        <v>1194</v>
      </c>
      <c r="BB59" s="17" t="s">
        <v>766</v>
      </c>
      <c r="BC59" s="17" t="s">
        <v>1988</v>
      </c>
      <c r="BD59" s="17" t="s">
        <v>1998</v>
      </c>
      <c r="BE59" s="17" t="s">
        <v>2008</v>
      </c>
      <c r="BF59" s="17" t="s">
        <v>2016</v>
      </c>
      <c r="BZ59" t="s">
        <v>500</v>
      </c>
      <c r="CA59" t="s">
        <v>509</v>
      </c>
      <c r="CB59" t="s">
        <v>673</v>
      </c>
      <c r="CC59">
        <v>62</v>
      </c>
      <c r="CE59" t="s">
        <v>110</v>
      </c>
      <c r="CF59" t="s">
        <v>561</v>
      </c>
      <c r="CG59" t="s">
        <v>472</v>
      </c>
      <c r="CH59" t="s">
        <v>108</v>
      </c>
      <c r="CI59">
        <v>59</v>
      </c>
      <c r="CJ59" t="s">
        <v>707</v>
      </c>
    </row>
    <row r="60" spans="1:88" ht="12.75" customHeight="1" x14ac:dyDescent="0.25">
      <c r="A60" s="89" t="s">
        <v>1771</v>
      </c>
      <c r="D60" s="89" t="s">
        <v>1771</v>
      </c>
      <c r="E60" s="202">
        <v>4050322</v>
      </c>
      <c r="F60" s="321">
        <v>102.8</v>
      </c>
      <c r="G60" s="202">
        <v>32</v>
      </c>
      <c r="H60" s="202">
        <v>10.7</v>
      </c>
      <c r="I60" s="89">
        <v>100</v>
      </c>
      <c r="J60" s="89">
        <v>135</v>
      </c>
      <c r="K60" s="89">
        <v>239</v>
      </c>
      <c r="L60" s="89" t="s">
        <v>111</v>
      </c>
      <c r="M60" s="89" t="s">
        <v>1645</v>
      </c>
      <c r="N60" s="89" t="s">
        <v>1626</v>
      </c>
      <c r="AL60" s="284" t="s">
        <v>1551</v>
      </c>
      <c r="AM60" t="s">
        <v>510</v>
      </c>
      <c r="AR60" s="144"/>
      <c r="AZ60" s="17" t="s">
        <v>1190</v>
      </c>
      <c r="BA60" s="17" t="s">
        <v>1195</v>
      </c>
      <c r="BB60" s="17" t="s">
        <v>1202</v>
      </c>
      <c r="BC60" s="17" t="s">
        <v>1989</v>
      </c>
      <c r="BD60" s="17" t="s">
        <v>1999</v>
      </c>
      <c r="BE60" s="17" t="s">
        <v>2009</v>
      </c>
      <c r="BF60" s="17" t="s">
        <v>2017</v>
      </c>
      <c r="BZ60" t="s">
        <v>500</v>
      </c>
      <c r="CA60" t="s">
        <v>510</v>
      </c>
      <c r="CB60" t="s">
        <v>674</v>
      </c>
      <c r="CC60">
        <v>124</v>
      </c>
      <c r="CE60" t="s">
        <v>110</v>
      </c>
      <c r="CF60" t="s">
        <v>561</v>
      </c>
      <c r="CG60" t="s">
        <v>556</v>
      </c>
      <c r="CH60" t="s">
        <v>108</v>
      </c>
      <c r="CI60">
        <v>60</v>
      </c>
      <c r="CJ60" t="s">
        <v>707</v>
      </c>
    </row>
    <row r="61" spans="1:88" ht="12.75" customHeight="1" x14ac:dyDescent="0.25">
      <c r="A61" s="89" t="s">
        <v>1772</v>
      </c>
      <c r="D61" s="89" t="s">
        <v>1772</v>
      </c>
      <c r="E61" s="202">
        <v>4050323</v>
      </c>
      <c r="F61" s="321">
        <v>126.7</v>
      </c>
      <c r="G61" s="202">
        <v>32</v>
      </c>
      <c r="H61" s="202">
        <v>9.6</v>
      </c>
      <c r="I61" s="89">
        <v>100</v>
      </c>
      <c r="J61" s="89">
        <v>240</v>
      </c>
      <c r="K61" s="89">
        <v>999999</v>
      </c>
      <c r="L61" s="89" t="s">
        <v>111</v>
      </c>
      <c r="M61" s="89" t="s">
        <v>1646</v>
      </c>
      <c r="N61" s="89" t="s">
        <v>1626</v>
      </c>
      <c r="AL61" s="284" t="s">
        <v>1552</v>
      </c>
      <c r="AM61" t="s">
        <v>511</v>
      </c>
      <c r="AR61" s="144"/>
      <c r="AZ61" s="17" t="s">
        <v>483</v>
      </c>
      <c r="BA61" s="17" t="s">
        <v>505</v>
      </c>
      <c r="BB61" s="17" t="s">
        <v>1286</v>
      </c>
      <c r="BC61" s="17" t="s">
        <v>1990</v>
      </c>
      <c r="BD61" s="17" t="s">
        <v>2000</v>
      </c>
      <c r="BF61" s="17" t="s">
        <v>2018</v>
      </c>
      <c r="BZ61" t="s">
        <v>500</v>
      </c>
      <c r="CA61" t="s">
        <v>511</v>
      </c>
      <c r="CB61" t="s">
        <v>675</v>
      </c>
      <c r="CC61">
        <v>186</v>
      </c>
      <c r="CE61" t="s">
        <v>110</v>
      </c>
      <c r="CF61" t="s">
        <v>561</v>
      </c>
      <c r="CG61" t="s">
        <v>559</v>
      </c>
      <c r="CH61" t="s">
        <v>108</v>
      </c>
      <c r="CI61">
        <v>61</v>
      </c>
      <c r="CJ61" t="s">
        <v>707</v>
      </c>
    </row>
    <row r="62" spans="1:88" ht="12.75" customHeight="1" x14ac:dyDescent="0.25">
      <c r="A62" s="89" t="s">
        <v>1773</v>
      </c>
      <c r="D62" s="89" t="s">
        <v>1773</v>
      </c>
      <c r="E62" s="89">
        <v>4050210</v>
      </c>
      <c r="F62" s="321">
        <v>10.5</v>
      </c>
      <c r="G62" s="89">
        <v>2.75</v>
      </c>
      <c r="H62" s="89">
        <v>-0.96</v>
      </c>
      <c r="I62" s="89">
        <v>0.96</v>
      </c>
      <c r="J62" s="89">
        <v>0</v>
      </c>
      <c r="K62" s="89">
        <v>1799</v>
      </c>
      <c r="L62" s="89" t="s">
        <v>421</v>
      </c>
      <c r="M62" s="89" t="s">
        <v>1622</v>
      </c>
      <c r="N62" s="89" t="s">
        <v>1626</v>
      </c>
      <c r="AL62" t="s">
        <v>492</v>
      </c>
      <c r="AM62" t="s">
        <v>512</v>
      </c>
      <c r="AR62" s="144"/>
      <c r="AZ62" s="17" t="s">
        <v>484</v>
      </c>
      <c r="BA62" s="17" t="s">
        <v>506</v>
      </c>
      <c r="BB62" s="17" t="s">
        <v>1287</v>
      </c>
      <c r="BC62" s="17" t="s">
        <v>1991</v>
      </c>
      <c r="BD62" s="17" t="s">
        <v>2001</v>
      </c>
      <c r="BZ62" t="s">
        <v>500</v>
      </c>
      <c r="CA62" t="s">
        <v>512</v>
      </c>
      <c r="CB62" t="s">
        <v>676</v>
      </c>
      <c r="CC62">
        <v>248</v>
      </c>
      <c r="CE62" t="s">
        <v>110</v>
      </c>
      <c r="CF62" t="s">
        <v>561</v>
      </c>
      <c r="CG62" t="s">
        <v>560</v>
      </c>
      <c r="CH62" t="s">
        <v>108</v>
      </c>
      <c r="CI62">
        <v>62</v>
      </c>
      <c r="CJ62" t="s">
        <v>707</v>
      </c>
    </row>
    <row r="63" spans="1:88" ht="12.75" customHeight="1" x14ac:dyDescent="0.25">
      <c r="A63" s="89" t="s">
        <v>1774</v>
      </c>
      <c r="D63" s="89" t="s">
        <v>1774</v>
      </c>
      <c r="E63" s="89">
        <v>4050211</v>
      </c>
      <c r="F63" s="321">
        <v>10.5</v>
      </c>
      <c r="G63" s="89">
        <v>2.75</v>
      </c>
      <c r="H63" s="89">
        <v>-0.94</v>
      </c>
      <c r="I63" s="89">
        <v>0.94</v>
      </c>
      <c r="J63" s="89">
        <v>1800</v>
      </c>
      <c r="K63" s="89">
        <v>999999</v>
      </c>
      <c r="L63" s="89" t="s">
        <v>421</v>
      </c>
      <c r="M63" s="89" t="s">
        <v>1623</v>
      </c>
      <c r="N63" s="89" t="s">
        <v>1626</v>
      </c>
      <c r="AL63" t="s">
        <v>493</v>
      </c>
      <c r="AM63" t="s">
        <v>1289</v>
      </c>
      <c r="AR63" s="144"/>
      <c r="AZ63" s="17" t="s">
        <v>485</v>
      </c>
      <c r="BA63" s="17" t="s">
        <v>507</v>
      </c>
      <c r="BB63" s="17" t="s">
        <v>2099</v>
      </c>
      <c r="BZ63" t="s">
        <v>500</v>
      </c>
      <c r="CA63" t="s">
        <v>1289</v>
      </c>
      <c r="CB63" t="s">
        <v>1129</v>
      </c>
      <c r="CC63">
        <v>328</v>
      </c>
      <c r="CE63" t="s">
        <v>110</v>
      </c>
      <c r="CF63" t="s">
        <v>561</v>
      </c>
      <c r="CG63" t="s">
        <v>1128</v>
      </c>
      <c r="CH63" t="s">
        <v>108</v>
      </c>
      <c r="CI63">
        <v>63</v>
      </c>
      <c r="CJ63" t="s">
        <v>707</v>
      </c>
    </row>
    <row r="64" spans="1:88" ht="12.75" customHeight="1" x14ac:dyDescent="0.25">
      <c r="A64" s="89" t="s">
        <v>1594</v>
      </c>
      <c r="D64" s="89" t="s">
        <v>1358</v>
      </c>
      <c r="E64" s="89">
        <v>4052410</v>
      </c>
      <c r="F64" s="89">
        <v>205.3</v>
      </c>
      <c r="G64" s="89">
        <v>2.75</v>
      </c>
      <c r="H64" s="89">
        <v>0</v>
      </c>
      <c r="I64" s="89">
        <v>999</v>
      </c>
      <c r="J64" s="89">
        <v>1</v>
      </c>
      <c r="K64" s="89">
        <v>999999</v>
      </c>
      <c r="L64" s="89" t="s">
        <v>421</v>
      </c>
      <c r="M64" s="89" t="s">
        <v>1359</v>
      </c>
      <c r="N64" s="89" t="s">
        <v>1626</v>
      </c>
      <c r="AL64" t="s">
        <v>494</v>
      </c>
      <c r="AM64" t="s">
        <v>514</v>
      </c>
      <c r="AR64" s="144"/>
      <c r="AZ64" s="17" t="s">
        <v>486</v>
      </c>
      <c r="BA64" s="17" t="s">
        <v>508</v>
      </c>
      <c r="BB64" s="17" t="s">
        <v>2100</v>
      </c>
      <c r="BZ64" t="s">
        <v>513</v>
      </c>
      <c r="CA64" t="s">
        <v>514</v>
      </c>
      <c r="CB64" t="s">
        <v>677</v>
      </c>
      <c r="CC64">
        <v>85</v>
      </c>
      <c r="CE64" t="s">
        <v>565</v>
      </c>
      <c r="CF64" t="s">
        <v>561</v>
      </c>
      <c r="CG64" t="s">
        <v>472</v>
      </c>
      <c r="CH64" t="s">
        <v>108</v>
      </c>
      <c r="CI64">
        <v>64</v>
      </c>
      <c r="CJ64" t="s">
        <v>707</v>
      </c>
    </row>
    <row r="65" spans="1:88" ht="12.75" customHeight="1" x14ac:dyDescent="0.25">
      <c r="A65" s="89" t="s">
        <v>1618</v>
      </c>
      <c r="D65" s="89" t="s">
        <v>1594</v>
      </c>
      <c r="E65" s="89">
        <v>4050110</v>
      </c>
      <c r="F65" s="89">
        <v>377.93340000000001</v>
      </c>
      <c r="G65" s="89">
        <v>2.75</v>
      </c>
      <c r="H65" s="89">
        <v>0</v>
      </c>
      <c r="I65" s="89">
        <v>999</v>
      </c>
      <c r="J65" s="89">
        <v>0</v>
      </c>
      <c r="K65" s="89">
        <v>999999</v>
      </c>
      <c r="L65" s="89" t="s">
        <v>111</v>
      </c>
      <c r="M65" s="89" t="s">
        <v>1629</v>
      </c>
      <c r="N65" s="89" t="s">
        <v>1626</v>
      </c>
      <c r="AL65" t="s">
        <v>495</v>
      </c>
      <c r="AM65" t="s">
        <v>515</v>
      </c>
      <c r="AR65" s="144"/>
      <c r="AZ65" s="17" t="s">
        <v>1130</v>
      </c>
      <c r="BA65" s="17" t="s">
        <v>1196</v>
      </c>
      <c r="BB65" s="17" t="s">
        <v>708</v>
      </c>
      <c r="BZ65" t="s">
        <v>513</v>
      </c>
      <c r="CA65" t="s">
        <v>515</v>
      </c>
      <c r="CB65" t="s">
        <v>678</v>
      </c>
      <c r="CC65">
        <v>160</v>
      </c>
      <c r="CE65" t="s">
        <v>565</v>
      </c>
      <c r="CF65" t="s">
        <v>561</v>
      </c>
      <c r="CG65" t="s">
        <v>556</v>
      </c>
      <c r="CH65" t="s">
        <v>108</v>
      </c>
      <c r="CI65">
        <v>65</v>
      </c>
      <c r="CJ65" t="s">
        <v>707</v>
      </c>
    </row>
    <row r="66" spans="1:88" ht="12.75" customHeight="1" x14ac:dyDescent="0.25">
      <c r="A66" s="89" t="s">
        <v>1620</v>
      </c>
      <c r="D66" s="89" t="s">
        <v>1618</v>
      </c>
      <c r="E66" s="89">
        <v>4050710</v>
      </c>
      <c r="F66" s="89">
        <v>665</v>
      </c>
      <c r="G66" s="89">
        <v>2.75</v>
      </c>
      <c r="H66" s="89">
        <v>0</v>
      </c>
      <c r="I66" s="89">
        <v>999</v>
      </c>
      <c r="J66" s="89">
        <v>0</v>
      </c>
      <c r="K66" s="89">
        <v>999999</v>
      </c>
      <c r="L66" s="89" t="s">
        <v>421</v>
      </c>
      <c r="M66" s="89" t="s">
        <v>1624</v>
      </c>
      <c r="N66" s="89" t="s">
        <v>1625</v>
      </c>
      <c r="AL66" t="s">
        <v>497</v>
      </c>
      <c r="AM66" t="s">
        <v>516</v>
      </c>
      <c r="AR66" s="144"/>
      <c r="AZ66" s="17" t="s">
        <v>1272</v>
      </c>
      <c r="BA66" s="17" t="s">
        <v>1197</v>
      </c>
      <c r="BB66" s="17" t="s">
        <v>709</v>
      </c>
      <c r="BZ66" t="s">
        <v>513</v>
      </c>
      <c r="CA66" t="s">
        <v>516</v>
      </c>
      <c r="CB66" t="s">
        <v>679</v>
      </c>
      <c r="CC66">
        <v>285</v>
      </c>
      <c r="CE66" t="s">
        <v>565</v>
      </c>
      <c r="CF66" t="s">
        <v>561</v>
      </c>
      <c r="CG66" t="s">
        <v>559</v>
      </c>
      <c r="CH66" t="s">
        <v>108</v>
      </c>
      <c r="CI66">
        <v>66</v>
      </c>
      <c r="CJ66" t="s">
        <v>719</v>
      </c>
    </row>
    <row r="67" spans="1:88" ht="12.75" customHeight="1" x14ac:dyDescent="0.25">
      <c r="A67" s="89" t="s">
        <v>1619</v>
      </c>
      <c r="D67" s="89" t="s">
        <v>1620</v>
      </c>
      <c r="E67" s="89">
        <v>4050710</v>
      </c>
      <c r="F67" s="89">
        <v>1895</v>
      </c>
      <c r="G67" s="89">
        <v>2.75</v>
      </c>
      <c r="H67" s="89">
        <v>0</v>
      </c>
      <c r="I67" s="89">
        <v>999</v>
      </c>
      <c r="J67" s="89">
        <v>0</v>
      </c>
      <c r="K67" s="89">
        <v>999999</v>
      </c>
      <c r="L67" s="89" t="s">
        <v>111</v>
      </c>
      <c r="M67" s="89" t="s">
        <v>1624</v>
      </c>
      <c r="N67" s="89" t="s">
        <v>1625</v>
      </c>
      <c r="AL67" t="s">
        <v>498</v>
      </c>
      <c r="AM67" t="s">
        <v>517</v>
      </c>
      <c r="AR67" s="144"/>
      <c r="AZ67" s="17" t="s">
        <v>1273</v>
      </c>
      <c r="BA67" s="17" t="s">
        <v>1198</v>
      </c>
      <c r="BB67" s="17" t="s">
        <v>1203</v>
      </c>
      <c r="BZ67" t="s">
        <v>513</v>
      </c>
      <c r="CA67" t="s">
        <v>517</v>
      </c>
      <c r="CB67" t="s">
        <v>680</v>
      </c>
      <c r="CC67">
        <v>320</v>
      </c>
      <c r="CE67" t="s">
        <v>565</v>
      </c>
      <c r="CF67" t="s">
        <v>561</v>
      </c>
      <c r="CG67" t="s">
        <v>560</v>
      </c>
      <c r="CH67" t="s">
        <v>108</v>
      </c>
      <c r="CI67">
        <v>67</v>
      </c>
      <c r="CJ67" t="s">
        <v>707</v>
      </c>
    </row>
    <row r="68" spans="1:88" ht="12.75" customHeight="1" x14ac:dyDescent="0.25">
      <c r="D68" s="89" t="s">
        <v>1619</v>
      </c>
      <c r="E68" s="89">
        <v>4050710</v>
      </c>
      <c r="F68" s="89">
        <v>1075</v>
      </c>
      <c r="G68" s="89">
        <v>2.75</v>
      </c>
      <c r="H68" s="89">
        <v>0</v>
      </c>
      <c r="I68" s="89">
        <v>999</v>
      </c>
      <c r="J68" s="89">
        <v>0</v>
      </c>
      <c r="K68" s="89">
        <v>999999</v>
      </c>
      <c r="L68" s="89" t="s">
        <v>111</v>
      </c>
      <c r="M68" s="89" t="s">
        <v>1624</v>
      </c>
      <c r="N68" s="89" t="s">
        <v>1625</v>
      </c>
      <c r="AL68" t="s">
        <v>499</v>
      </c>
      <c r="AM68" t="s">
        <v>518</v>
      </c>
      <c r="AR68" s="144"/>
      <c r="AZ68" s="17" t="s">
        <v>1251</v>
      </c>
      <c r="BA68" s="17" t="s">
        <v>1276</v>
      </c>
      <c r="BB68" s="17" t="s">
        <v>710</v>
      </c>
      <c r="BZ68" t="s">
        <v>500</v>
      </c>
      <c r="CA68" t="s">
        <v>518</v>
      </c>
      <c r="CB68" t="s">
        <v>681</v>
      </c>
      <c r="CC68">
        <v>28</v>
      </c>
      <c r="CE68" t="s">
        <v>110</v>
      </c>
      <c r="CF68" t="s">
        <v>558</v>
      </c>
      <c r="CG68" t="s">
        <v>472</v>
      </c>
      <c r="CH68" t="s">
        <v>108</v>
      </c>
      <c r="CI68">
        <v>68</v>
      </c>
      <c r="CJ68" t="s">
        <v>707</v>
      </c>
    </row>
    <row r="69" spans="1:88" ht="12.75" customHeight="1" x14ac:dyDescent="0.25">
      <c r="D69" s="299" t="s">
        <v>1650</v>
      </c>
      <c r="E69" s="206">
        <v>4080311</v>
      </c>
      <c r="F69" s="208">
        <v>1289.5999999999999</v>
      </c>
      <c r="G69" s="208">
        <v>2.75</v>
      </c>
      <c r="H69" s="89">
        <v>0</v>
      </c>
      <c r="I69" s="89">
        <v>999</v>
      </c>
      <c r="J69" s="89">
        <v>0</v>
      </c>
      <c r="K69" s="89">
        <v>999999</v>
      </c>
      <c r="L69" s="208" t="s">
        <v>421</v>
      </c>
      <c r="M69" s="208" t="s">
        <v>1366</v>
      </c>
      <c r="AL69" t="s">
        <v>473</v>
      </c>
      <c r="AM69" t="s">
        <v>519</v>
      </c>
      <c r="AR69" s="144"/>
      <c r="AZ69" s="17" t="s">
        <v>1252</v>
      </c>
      <c r="BA69" s="17" t="s">
        <v>1277</v>
      </c>
      <c r="BB69" s="17" t="s">
        <v>711</v>
      </c>
      <c r="BZ69" t="s">
        <v>500</v>
      </c>
      <c r="CA69" t="s">
        <v>519</v>
      </c>
      <c r="CB69" t="s">
        <v>682</v>
      </c>
      <c r="CC69">
        <v>56</v>
      </c>
      <c r="CE69" t="s">
        <v>110</v>
      </c>
      <c r="CF69" t="s">
        <v>558</v>
      </c>
      <c r="CG69" t="s">
        <v>556</v>
      </c>
      <c r="CH69" t="s">
        <v>108</v>
      </c>
      <c r="CI69">
        <v>69</v>
      </c>
      <c r="CJ69" t="s">
        <v>707</v>
      </c>
    </row>
    <row r="70" spans="1:88" ht="12.75" customHeight="1" x14ac:dyDescent="0.25">
      <c r="D70" s="300" t="s">
        <v>1651</v>
      </c>
      <c r="E70" s="212">
        <v>4080411</v>
      </c>
      <c r="F70" s="214">
        <v>1696.6</v>
      </c>
      <c r="G70" s="214">
        <v>2.75</v>
      </c>
      <c r="H70" s="89">
        <v>0</v>
      </c>
      <c r="I70" s="89">
        <v>999</v>
      </c>
      <c r="J70" s="89">
        <v>0</v>
      </c>
      <c r="K70" s="89">
        <v>999999</v>
      </c>
      <c r="L70" s="214" t="s">
        <v>111</v>
      </c>
      <c r="M70" s="214" t="s">
        <v>1369</v>
      </c>
      <c r="AL70" t="s">
        <v>133</v>
      </c>
      <c r="AM70" t="s">
        <v>1200</v>
      </c>
      <c r="AR70" s="144"/>
      <c r="AZ70" s="17" t="s">
        <v>487</v>
      </c>
      <c r="BA70" s="17" t="s">
        <v>1278</v>
      </c>
      <c r="BB70" s="17" t="s">
        <v>712</v>
      </c>
      <c r="BZ70" t="s">
        <v>500</v>
      </c>
      <c r="CA70" t="s">
        <v>1200</v>
      </c>
      <c r="CB70" t="s">
        <v>1236</v>
      </c>
      <c r="CC70">
        <v>89</v>
      </c>
      <c r="CE70" t="s">
        <v>110</v>
      </c>
      <c r="CF70" t="s">
        <v>558</v>
      </c>
      <c r="CG70" t="s">
        <v>559</v>
      </c>
      <c r="CH70" t="s">
        <v>108</v>
      </c>
      <c r="CI70">
        <v>70</v>
      </c>
      <c r="CJ70" t="s">
        <v>707</v>
      </c>
    </row>
    <row r="71" spans="1:88" ht="12.75" customHeight="1" x14ac:dyDescent="0.25">
      <c r="D71" s="203" t="s">
        <v>1657</v>
      </c>
      <c r="E71" s="89">
        <v>4080611</v>
      </c>
      <c r="F71" s="89">
        <v>939.7</v>
      </c>
      <c r="G71" s="202">
        <v>2.75</v>
      </c>
      <c r="H71" s="89">
        <v>0</v>
      </c>
      <c r="I71" s="89">
        <v>999</v>
      </c>
      <c r="J71" s="89">
        <v>0</v>
      </c>
      <c r="K71" s="89">
        <v>999999</v>
      </c>
      <c r="L71" s="89" t="s">
        <v>111</v>
      </c>
      <c r="M71" s="89" t="s">
        <v>1371</v>
      </c>
      <c r="AL71" t="s">
        <v>134</v>
      </c>
      <c r="AN71" s="178"/>
      <c r="AR71" s="144"/>
      <c r="AZ71" s="17" t="s">
        <v>488</v>
      </c>
      <c r="BA71" s="17" t="s">
        <v>1279</v>
      </c>
      <c r="BB71" s="17" t="s">
        <v>713</v>
      </c>
      <c r="CA71" t="s">
        <v>1038</v>
      </c>
      <c r="CC71" t="s">
        <v>658</v>
      </c>
      <c r="CI71">
        <v>71</v>
      </c>
    </row>
    <row r="72" spans="1:88" x14ac:dyDescent="0.25">
      <c r="D72" s="203" t="s">
        <v>1730</v>
      </c>
      <c r="E72" s="202">
        <v>4080910</v>
      </c>
      <c r="F72" s="202">
        <v>1289.5999999999999</v>
      </c>
      <c r="G72" s="202">
        <v>190</v>
      </c>
      <c r="H72" s="89">
        <v>0</v>
      </c>
      <c r="I72" s="89">
        <v>999</v>
      </c>
      <c r="J72" s="89">
        <v>0</v>
      </c>
      <c r="K72" s="89">
        <v>999999</v>
      </c>
      <c r="L72" s="202" t="s">
        <v>421</v>
      </c>
      <c r="M72" s="202" t="s">
        <v>1661</v>
      </c>
      <c r="AL72" t="s">
        <v>1199</v>
      </c>
      <c r="AR72" s="144"/>
      <c r="AZ72" s="17" t="s">
        <v>489</v>
      </c>
      <c r="BA72" s="17" t="s">
        <v>1256</v>
      </c>
      <c r="BZ72" t="s">
        <v>520</v>
      </c>
      <c r="CA72" t="s">
        <v>1261</v>
      </c>
      <c r="CB72" t="s">
        <v>1263</v>
      </c>
      <c r="CC72">
        <v>28</v>
      </c>
      <c r="CE72" t="s">
        <v>109</v>
      </c>
      <c r="CF72" t="s">
        <v>469</v>
      </c>
      <c r="CG72" t="s">
        <v>472</v>
      </c>
      <c r="CH72" t="s">
        <v>108</v>
      </c>
      <c r="CI72">
        <v>72</v>
      </c>
      <c r="CJ72" t="s">
        <v>706</v>
      </c>
    </row>
    <row r="73" spans="1:88" x14ac:dyDescent="0.25">
      <c r="D73" s="203" t="s">
        <v>1667</v>
      </c>
      <c r="E73" s="202">
        <v>4080612</v>
      </c>
      <c r="F73" s="202">
        <v>479.5</v>
      </c>
      <c r="G73" s="202">
        <v>46</v>
      </c>
      <c r="H73" s="89">
        <v>0</v>
      </c>
      <c r="I73" s="89">
        <v>999</v>
      </c>
      <c r="J73" s="89">
        <v>0</v>
      </c>
      <c r="K73" s="89">
        <v>999999</v>
      </c>
      <c r="L73" s="202" t="s">
        <v>111</v>
      </c>
      <c r="M73" s="202" t="s">
        <v>1671</v>
      </c>
      <c r="AL73" s="194"/>
      <c r="AR73" s="144"/>
      <c r="AZ73" s="17" t="s">
        <v>490</v>
      </c>
      <c r="BA73" s="17" t="s">
        <v>1257</v>
      </c>
      <c r="BZ73" t="s">
        <v>520</v>
      </c>
      <c r="CA73" t="s">
        <v>1262</v>
      </c>
      <c r="CB73" t="s">
        <v>1264</v>
      </c>
      <c r="CC73">
        <v>54</v>
      </c>
      <c r="CE73" t="s">
        <v>109</v>
      </c>
      <c r="CF73" t="s">
        <v>469</v>
      </c>
      <c r="CG73" t="s">
        <v>556</v>
      </c>
      <c r="CH73" t="s">
        <v>108</v>
      </c>
      <c r="CI73">
        <v>73</v>
      </c>
      <c r="CJ73" t="s">
        <v>706</v>
      </c>
    </row>
    <row r="74" spans="1:88" x14ac:dyDescent="0.25">
      <c r="AL74" s="194"/>
      <c r="AM74"/>
      <c r="AR74" s="144"/>
      <c r="AZ74" s="17" t="s">
        <v>1550</v>
      </c>
      <c r="BA74" s="17" t="s">
        <v>509</v>
      </c>
      <c r="BZ74" t="s">
        <v>520</v>
      </c>
      <c r="CA74" t="s">
        <v>763</v>
      </c>
      <c r="CB74" t="s">
        <v>1238</v>
      </c>
      <c r="CC74">
        <v>32</v>
      </c>
      <c r="CE74" t="s">
        <v>109</v>
      </c>
      <c r="CF74" t="s">
        <v>558</v>
      </c>
      <c r="CG74" t="s">
        <v>472</v>
      </c>
      <c r="CH74" t="s">
        <v>108</v>
      </c>
      <c r="CI74">
        <v>74</v>
      </c>
      <c r="CJ74" t="s">
        <v>706</v>
      </c>
    </row>
    <row r="75" spans="1:88" x14ac:dyDescent="0.25">
      <c r="AR75" s="144"/>
      <c r="AZ75" s="17" t="s">
        <v>1551</v>
      </c>
      <c r="BA75" s="17" t="s">
        <v>510</v>
      </c>
      <c r="BZ75" t="s">
        <v>520</v>
      </c>
      <c r="CA75" t="s">
        <v>764</v>
      </c>
      <c r="CB75" t="s">
        <v>1239</v>
      </c>
      <c r="CC75">
        <v>64</v>
      </c>
      <c r="CE75" t="s">
        <v>109</v>
      </c>
      <c r="CF75" t="s">
        <v>558</v>
      </c>
      <c r="CG75" t="s">
        <v>556</v>
      </c>
      <c r="CH75" t="s">
        <v>108</v>
      </c>
      <c r="CI75">
        <v>75</v>
      </c>
      <c r="CJ75" t="s">
        <v>706</v>
      </c>
    </row>
    <row r="76" spans="1:88" x14ac:dyDescent="0.25">
      <c r="D76" s="202" t="s">
        <v>724</v>
      </c>
      <c r="E76" s="202" t="s">
        <v>923</v>
      </c>
      <c r="F76" s="202" t="s">
        <v>101</v>
      </c>
      <c r="G76" s="202" t="s">
        <v>98</v>
      </c>
      <c r="H76" s="202" t="s">
        <v>1191</v>
      </c>
      <c r="I76" s="202" t="s">
        <v>1678</v>
      </c>
      <c r="J76" s="202" t="s">
        <v>1679</v>
      </c>
      <c r="K76" s="203" t="s">
        <v>1680</v>
      </c>
      <c r="L76" s="202" t="s">
        <v>1675</v>
      </c>
      <c r="M76" s="204" t="s">
        <v>122</v>
      </c>
      <c r="N76" s="202" t="s">
        <v>97</v>
      </c>
      <c r="AR76" s="144"/>
      <c r="AZ76" s="17" t="s">
        <v>1552</v>
      </c>
      <c r="BA76" s="17" t="s">
        <v>511</v>
      </c>
      <c r="BZ76" t="s">
        <v>520</v>
      </c>
      <c r="CA76" t="s">
        <v>1201</v>
      </c>
      <c r="CB76" t="s">
        <v>1242</v>
      </c>
      <c r="CC76">
        <v>96</v>
      </c>
      <c r="CE76" t="s">
        <v>109</v>
      </c>
      <c r="CF76" t="s">
        <v>558</v>
      </c>
      <c r="CG76" t="s">
        <v>559</v>
      </c>
      <c r="CH76" t="s">
        <v>108</v>
      </c>
      <c r="CI76">
        <v>76</v>
      </c>
      <c r="CJ76" t="s">
        <v>706</v>
      </c>
    </row>
    <row r="77" spans="1:88" x14ac:dyDescent="0.25">
      <c r="D77" s="202" t="s">
        <v>1697</v>
      </c>
      <c r="E77" s="202">
        <v>4052510</v>
      </c>
      <c r="F77" s="202">
        <v>6577</v>
      </c>
      <c r="G77" s="202">
        <v>940</v>
      </c>
      <c r="H77" s="202"/>
      <c r="I77" s="202"/>
      <c r="J77" s="202"/>
      <c r="K77" s="203"/>
      <c r="L77" s="202" t="s">
        <v>111</v>
      </c>
      <c r="M77" s="204" t="s">
        <v>1710</v>
      </c>
      <c r="N77" s="202" t="s">
        <v>1700</v>
      </c>
      <c r="AR77" s="144"/>
      <c r="AZ77" s="17" t="s">
        <v>492</v>
      </c>
      <c r="BA77" s="17" t="s">
        <v>512</v>
      </c>
      <c r="BZ77" t="s">
        <v>520</v>
      </c>
      <c r="CA77" t="s">
        <v>765</v>
      </c>
      <c r="CB77" t="s">
        <v>1240</v>
      </c>
      <c r="CC77">
        <v>128</v>
      </c>
      <c r="CE77" t="s">
        <v>109</v>
      </c>
      <c r="CF77" t="s">
        <v>558</v>
      </c>
      <c r="CG77" t="s">
        <v>560</v>
      </c>
      <c r="CH77" t="s">
        <v>108</v>
      </c>
      <c r="CI77">
        <v>77</v>
      </c>
      <c r="CJ77" t="s">
        <v>706</v>
      </c>
    </row>
    <row r="78" spans="1:88" x14ac:dyDescent="0.25">
      <c r="D78" s="202" t="s">
        <v>1698</v>
      </c>
      <c r="E78" s="202">
        <v>4052511</v>
      </c>
      <c r="F78" s="202">
        <v>8543</v>
      </c>
      <c r="G78" s="202">
        <v>1250</v>
      </c>
      <c r="H78" s="202"/>
      <c r="I78" s="202"/>
      <c r="J78" s="202"/>
      <c r="K78" s="203"/>
      <c r="L78" s="202" t="s">
        <v>111</v>
      </c>
      <c r="M78" s="204" t="s">
        <v>1710</v>
      </c>
      <c r="N78" s="202" t="s">
        <v>1700</v>
      </c>
      <c r="AR78" s="144"/>
      <c r="AZ78" s="17" t="s">
        <v>493</v>
      </c>
      <c r="BA78" s="17" t="s">
        <v>1289</v>
      </c>
      <c r="BZ78" t="s">
        <v>520</v>
      </c>
      <c r="CA78" t="s">
        <v>766</v>
      </c>
      <c r="CB78" t="s">
        <v>1241</v>
      </c>
      <c r="CC78">
        <v>192</v>
      </c>
      <c r="CE78" t="s">
        <v>109</v>
      </c>
      <c r="CF78" t="s">
        <v>558</v>
      </c>
      <c r="CG78" t="s">
        <v>566</v>
      </c>
      <c r="CH78" t="s">
        <v>108</v>
      </c>
      <c r="CI78">
        <v>78</v>
      </c>
      <c r="CJ78" t="s">
        <v>707</v>
      </c>
    </row>
    <row r="79" spans="1:88" x14ac:dyDescent="0.25">
      <c r="D79" s="202" t="s">
        <v>1699</v>
      </c>
      <c r="E79" s="202">
        <v>4052512</v>
      </c>
      <c r="F79" s="202">
        <v>10018</v>
      </c>
      <c r="G79" s="202">
        <v>1500</v>
      </c>
      <c r="H79" s="202"/>
      <c r="I79" s="202"/>
      <c r="J79" s="202"/>
      <c r="K79" s="203"/>
      <c r="L79" s="202" t="s">
        <v>111</v>
      </c>
      <c r="M79" s="204" t="s">
        <v>1710</v>
      </c>
      <c r="N79" s="202" t="s">
        <v>1700</v>
      </c>
      <c r="AR79" s="144"/>
      <c r="AZ79" s="17" t="s">
        <v>494</v>
      </c>
      <c r="BA79" s="17" t="s">
        <v>514</v>
      </c>
      <c r="BZ79" t="s">
        <v>520</v>
      </c>
      <c r="CA79" t="s">
        <v>1202</v>
      </c>
      <c r="CB79" t="s">
        <v>1243</v>
      </c>
      <c r="CC79">
        <v>256</v>
      </c>
      <c r="CE79" t="s">
        <v>109</v>
      </c>
      <c r="CF79" t="s">
        <v>558</v>
      </c>
      <c r="CG79" t="s">
        <v>567</v>
      </c>
      <c r="CH79" t="s">
        <v>108</v>
      </c>
      <c r="CI79">
        <v>79</v>
      </c>
      <c r="CJ79" t="s">
        <v>707</v>
      </c>
    </row>
    <row r="80" spans="1:88" x14ac:dyDescent="0.25">
      <c r="AR80" s="144"/>
      <c r="AZ80" s="17" t="s">
        <v>495</v>
      </c>
      <c r="BA80" s="17" t="s">
        <v>515</v>
      </c>
      <c r="BZ80" t="s">
        <v>520</v>
      </c>
      <c r="CA80" t="s">
        <v>1286</v>
      </c>
      <c r="CB80" t="s">
        <v>1259</v>
      </c>
      <c r="CC80">
        <v>40</v>
      </c>
      <c r="CE80" t="s">
        <v>109</v>
      </c>
      <c r="CF80" t="s">
        <v>1258</v>
      </c>
      <c r="CG80" t="s">
        <v>472</v>
      </c>
      <c r="CH80" t="s">
        <v>108</v>
      </c>
      <c r="CI80">
        <v>80</v>
      </c>
      <c r="CJ80" t="s">
        <v>1207</v>
      </c>
    </row>
    <row r="81" spans="44:88" x14ac:dyDescent="0.25">
      <c r="AR81" s="144"/>
      <c r="AZ81" s="17" t="s">
        <v>497</v>
      </c>
      <c r="BA81" s="17" t="s">
        <v>516</v>
      </c>
      <c r="BZ81" t="s">
        <v>520</v>
      </c>
      <c r="CA81" t="s">
        <v>1287</v>
      </c>
      <c r="CB81" t="s">
        <v>1260</v>
      </c>
      <c r="CC81">
        <v>77</v>
      </c>
      <c r="CE81" t="s">
        <v>109</v>
      </c>
      <c r="CF81" t="s">
        <v>1258</v>
      </c>
      <c r="CG81" t="s">
        <v>556</v>
      </c>
      <c r="CH81" t="s">
        <v>108</v>
      </c>
      <c r="CI81">
        <v>81</v>
      </c>
      <c r="CJ81" t="s">
        <v>1207</v>
      </c>
    </row>
    <row r="82" spans="44:88" x14ac:dyDescent="0.25">
      <c r="AR82" s="144"/>
      <c r="AZ82" s="17" t="s">
        <v>498</v>
      </c>
      <c r="BA82" s="17" t="s">
        <v>517</v>
      </c>
      <c r="BZ82" t="s">
        <v>521</v>
      </c>
      <c r="CA82" t="s">
        <v>708</v>
      </c>
      <c r="CB82" t="s">
        <v>150</v>
      </c>
      <c r="CC82">
        <v>59</v>
      </c>
      <c r="CE82" t="s">
        <v>714</v>
      </c>
      <c r="CF82" t="s">
        <v>558</v>
      </c>
      <c r="CG82" t="s">
        <v>472</v>
      </c>
      <c r="CH82" t="s">
        <v>108</v>
      </c>
      <c r="CI82">
        <v>82</v>
      </c>
      <c r="CJ82" t="s">
        <v>706</v>
      </c>
    </row>
    <row r="83" spans="44:88" x14ac:dyDescent="0.25">
      <c r="AR83" s="144"/>
      <c r="AZ83" s="17" t="s">
        <v>499</v>
      </c>
      <c r="BA83" s="17" t="s">
        <v>518</v>
      </c>
      <c r="BZ83" t="s">
        <v>521</v>
      </c>
      <c r="CA83" t="s">
        <v>709</v>
      </c>
      <c r="CB83" t="s">
        <v>151</v>
      </c>
      <c r="CC83">
        <v>120</v>
      </c>
      <c r="CE83" t="s">
        <v>714</v>
      </c>
      <c r="CF83" t="s">
        <v>558</v>
      </c>
      <c r="CG83" t="s">
        <v>556</v>
      </c>
      <c r="CH83" t="s">
        <v>108</v>
      </c>
      <c r="CI83">
        <v>83</v>
      </c>
      <c r="CJ83" t="s">
        <v>706</v>
      </c>
    </row>
    <row r="84" spans="44:88" x14ac:dyDescent="0.25">
      <c r="AZ84" s="17" t="s">
        <v>473</v>
      </c>
      <c r="BA84" s="17" t="s">
        <v>519</v>
      </c>
      <c r="BZ84" t="s">
        <v>521</v>
      </c>
      <c r="CA84" t="s">
        <v>1203</v>
      </c>
      <c r="CB84" t="s">
        <v>1244</v>
      </c>
      <c r="CC84">
        <v>180</v>
      </c>
      <c r="CE84" t="s">
        <v>714</v>
      </c>
      <c r="CF84" t="s">
        <v>558</v>
      </c>
      <c r="CG84" t="s">
        <v>559</v>
      </c>
      <c r="CH84" t="s">
        <v>108</v>
      </c>
      <c r="CI84">
        <v>84</v>
      </c>
      <c r="CJ84" t="s">
        <v>706</v>
      </c>
    </row>
    <row r="85" spans="44:88" x14ac:dyDescent="0.25">
      <c r="AZ85" s="17" t="s">
        <v>133</v>
      </c>
      <c r="BA85" s="17" t="s">
        <v>1200</v>
      </c>
      <c r="BZ85" t="s">
        <v>521</v>
      </c>
      <c r="CA85" t="s">
        <v>710</v>
      </c>
      <c r="CB85" t="s">
        <v>152</v>
      </c>
      <c r="CC85">
        <v>234</v>
      </c>
      <c r="CE85" t="s">
        <v>714</v>
      </c>
      <c r="CF85" t="s">
        <v>558</v>
      </c>
      <c r="CG85" t="s">
        <v>560</v>
      </c>
      <c r="CH85" t="s">
        <v>108</v>
      </c>
      <c r="CI85">
        <v>85</v>
      </c>
      <c r="CJ85" t="s">
        <v>706</v>
      </c>
    </row>
    <row r="86" spans="44:88" x14ac:dyDescent="0.25">
      <c r="AZ86" s="17" t="s">
        <v>134</v>
      </c>
      <c r="BZ86" t="s">
        <v>521</v>
      </c>
      <c r="CA86" t="s">
        <v>711</v>
      </c>
      <c r="CB86" t="s">
        <v>153</v>
      </c>
      <c r="CC86">
        <v>360</v>
      </c>
      <c r="CE86" t="s">
        <v>714</v>
      </c>
      <c r="CF86" t="s">
        <v>558</v>
      </c>
      <c r="CG86" t="s">
        <v>566</v>
      </c>
      <c r="CH86" t="s">
        <v>108</v>
      </c>
      <c r="CI86">
        <v>86</v>
      </c>
      <c r="CJ86" t="s">
        <v>707</v>
      </c>
    </row>
    <row r="87" spans="44:88" x14ac:dyDescent="0.25">
      <c r="AZ87" s="17" t="s">
        <v>1199</v>
      </c>
      <c r="BZ87" t="s">
        <v>521</v>
      </c>
      <c r="CA87" t="s">
        <v>712</v>
      </c>
      <c r="CB87" t="s">
        <v>154</v>
      </c>
      <c r="CC87">
        <v>468</v>
      </c>
      <c r="CE87" t="s">
        <v>714</v>
      </c>
      <c r="CF87" t="s">
        <v>558</v>
      </c>
      <c r="CG87" t="s">
        <v>567</v>
      </c>
      <c r="CH87" t="s">
        <v>108</v>
      </c>
      <c r="CI87">
        <v>87</v>
      </c>
      <c r="CJ87" t="s">
        <v>707</v>
      </c>
    </row>
    <row r="88" spans="44:88" x14ac:dyDescent="0.25">
      <c r="BZ88" t="s">
        <v>521</v>
      </c>
      <c r="CA88" t="s">
        <v>713</v>
      </c>
      <c r="CB88" t="s">
        <v>155</v>
      </c>
      <c r="CC88">
        <v>577</v>
      </c>
      <c r="CE88" t="s">
        <v>714</v>
      </c>
      <c r="CF88" t="s">
        <v>558</v>
      </c>
      <c r="CG88" t="s">
        <v>568</v>
      </c>
      <c r="CH88" t="s">
        <v>108</v>
      </c>
      <c r="CI88">
        <v>88</v>
      </c>
    </row>
    <row r="89" spans="44:88" x14ac:dyDescent="0.25">
      <c r="CA89" t="s">
        <v>1038</v>
      </c>
      <c r="CC89" t="s">
        <v>658</v>
      </c>
      <c r="CI89">
        <v>89</v>
      </c>
    </row>
    <row r="90" spans="44:88" x14ac:dyDescent="0.25">
      <c r="AZ90" s="17" t="s">
        <v>1898</v>
      </c>
      <c r="BA90" s="17" t="s">
        <v>1899</v>
      </c>
      <c r="BB90" s="17" t="s">
        <v>1900</v>
      </c>
      <c r="BC90" s="17" t="s">
        <v>569</v>
      </c>
      <c r="BD90" s="17" t="s">
        <v>576</v>
      </c>
      <c r="BE90" s="17" t="s">
        <v>584</v>
      </c>
      <c r="BF90" s="17" t="s">
        <v>2029</v>
      </c>
      <c r="BG90" s="17" t="s">
        <v>1158</v>
      </c>
      <c r="BH90" s="17" t="s">
        <v>1157</v>
      </c>
      <c r="BI90" s="17" t="s">
        <v>1156</v>
      </c>
      <c r="BZ90" t="s">
        <v>528</v>
      </c>
      <c r="CA90" t="s">
        <v>1204</v>
      </c>
      <c r="CB90" t="s">
        <v>1245</v>
      </c>
      <c r="CC90">
        <v>72</v>
      </c>
      <c r="CE90" t="s">
        <v>569</v>
      </c>
      <c r="CF90" t="s">
        <v>581</v>
      </c>
      <c r="CH90" t="s">
        <v>108</v>
      </c>
      <c r="CI90">
        <v>90</v>
      </c>
      <c r="CJ90" t="s">
        <v>707</v>
      </c>
    </row>
    <row r="91" spans="44:88" x14ac:dyDescent="0.25">
      <c r="AZ91" s="17" t="s">
        <v>1400</v>
      </c>
      <c r="BA91" s="17" t="s">
        <v>1400</v>
      </c>
      <c r="BB91" s="17" t="s">
        <v>1400</v>
      </c>
      <c r="BC91" s="17" t="s">
        <v>1906</v>
      </c>
      <c r="BD91" s="17" t="s">
        <v>1906</v>
      </c>
      <c r="BE91" s="17" t="s">
        <v>1906</v>
      </c>
      <c r="BF91" s="17" t="s">
        <v>1906</v>
      </c>
      <c r="BG91" s="17" t="s">
        <v>1916</v>
      </c>
      <c r="BH91" s="17" t="s">
        <v>1910</v>
      </c>
      <c r="BI91" s="17" t="s">
        <v>1910</v>
      </c>
      <c r="BZ91" t="s">
        <v>528</v>
      </c>
      <c r="CA91" t="s">
        <v>522</v>
      </c>
      <c r="CB91" t="s">
        <v>699</v>
      </c>
      <c r="CC91">
        <v>95</v>
      </c>
      <c r="CE91" t="s">
        <v>569</v>
      </c>
      <c r="CF91" t="s">
        <v>570</v>
      </c>
      <c r="CH91" t="s">
        <v>108</v>
      </c>
      <c r="CI91">
        <v>91</v>
      </c>
      <c r="CJ91" t="s">
        <v>706</v>
      </c>
    </row>
    <row r="92" spans="44:88" x14ac:dyDescent="0.25">
      <c r="AZ92" s="17" t="s">
        <v>1401</v>
      </c>
      <c r="BA92" s="17" t="s">
        <v>1401</v>
      </c>
      <c r="BB92" s="17" t="s">
        <v>1401</v>
      </c>
      <c r="BC92" s="17" t="s">
        <v>1907</v>
      </c>
      <c r="BD92" s="17" t="s">
        <v>1907</v>
      </c>
      <c r="BE92" s="17" t="s">
        <v>1907</v>
      </c>
      <c r="BF92" s="17" t="s">
        <v>1907</v>
      </c>
      <c r="BH92" s="17" t="s">
        <v>1911</v>
      </c>
      <c r="BI92" s="17" t="s">
        <v>1911</v>
      </c>
      <c r="BZ92" t="s">
        <v>528</v>
      </c>
      <c r="CA92" t="s">
        <v>523</v>
      </c>
      <c r="CB92" t="s">
        <v>700</v>
      </c>
      <c r="CC92">
        <v>114</v>
      </c>
      <c r="CE92" t="s">
        <v>569</v>
      </c>
      <c r="CF92" t="s">
        <v>571</v>
      </c>
      <c r="CH92" t="s">
        <v>108</v>
      </c>
      <c r="CI92">
        <v>92</v>
      </c>
      <c r="CJ92" t="s">
        <v>706</v>
      </c>
    </row>
    <row r="93" spans="44:88" x14ac:dyDescent="0.25">
      <c r="AZ93" s="17" t="s">
        <v>1402</v>
      </c>
      <c r="BA93" s="17" t="s">
        <v>1402</v>
      </c>
      <c r="BB93" s="17" t="s">
        <v>1402</v>
      </c>
      <c r="BC93" s="17" t="s">
        <v>1908</v>
      </c>
      <c r="BD93" s="17" t="s">
        <v>1908</v>
      </c>
      <c r="BE93" s="17" t="s">
        <v>1908</v>
      </c>
      <c r="BF93" s="17" t="s">
        <v>1908</v>
      </c>
      <c r="BH93" s="17" t="s">
        <v>1912</v>
      </c>
      <c r="BI93" s="17" t="s">
        <v>1912</v>
      </c>
      <c r="BZ93" t="s">
        <v>528</v>
      </c>
      <c r="CA93" t="s">
        <v>1174</v>
      </c>
      <c r="CB93" t="s">
        <v>1246</v>
      </c>
      <c r="CC93">
        <v>190</v>
      </c>
      <c r="CE93" t="s">
        <v>569</v>
      </c>
      <c r="CF93" t="s">
        <v>583</v>
      </c>
      <c r="CH93" t="s">
        <v>108</v>
      </c>
      <c r="CI93">
        <v>93</v>
      </c>
      <c r="CJ93" t="s">
        <v>707</v>
      </c>
    </row>
    <row r="94" spans="44:88" x14ac:dyDescent="0.25">
      <c r="AZ94" s="17" t="s">
        <v>1403</v>
      </c>
      <c r="BA94" s="17" t="s">
        <v>1403</v>
      </c>
      <c r="BB94" s="17" t="s">
        <v>1403</v>
      </c>
      <c r="BC94" s="17" t="s">
        <v>1909</v>
      </c>
      <c r="BD94" s="17" t="s">
        <v>1909</v>
      </c>
      <c r="BE94" s="17" t="s">
        <v>1909</v>
      </c>
      <c r="BF94" s="17" t="s">
        <v>1909</v>
      </c>
      <c r="BH94" s="17" t="s">
        <v>1913</v>
      </c>
      <c r="BI94" s="17" t="s">
        <v>1913</v>
      </c>
      <c r="BZ94" t="s">
        <v>528</v>
      </c>
      <c r="CA94" t="s">
        <v>524</v>
      </c>
      <c r="CB94" t="s">
        <v>701</v>
      </c>
      <c r="CC94">
        <v>199</v>
      </c>
      <c r="CE94" t="s">
        <v>569</v>
      </c>
      <c r="CF94" t="s">
        <v>572</v>
      </c>
      <c r="CH94" t="s">
        <v>108</v>
      </c>
      <c r="CI94">
        <v>94</v>
      </c>
      <c r="CJ94" t="s">
        <v>706</v>
      </c>
    </row>
    <row r="95" spans="44:88" x14ac:dyDescent="0.25">
      <c r="AZ95" s="17" t="s">
        <v>1404</v>
      </c>
      <c r="BA95" s="17" t="s">
        <v>1404</v>
      </c>
      <c r="BB95" s="17" t="s">
        <v>1404</v>
      </c>
      <c r="BZ95" t="s">
        <v>528</v>
      </c>
      <c r="CA95" t="s">
        <v>525</v>
      </c>
      <c r="CB95" t="s">
        <v>702</v>
      </c>
      <c r="CC95">
        <v>284</v>
      </c>
      <c r="CE95" t="s">
        <v>569</v>
      </c>
      <c r="CF95" t="s">
        <v>573</v>
      </c>
      <c r="CH95" t="s">
        <v>108</v>
      </c>
      <c r="CI95">
        <v>95</v>
      </c>
      <c r="CJ95" t="s">
        <v>706</v>
      </c>
    </row>
    <row r="96" spans="44:88" x14ac:dyDescent="0.25">
      <c r="AZ96" s="17" t="s">
        <v>1914</v>
      </c>
      <c r="BA96" s="17" t="s">
        <v>1914</v>
      </c>
      <c r="BB96" s="17" t="s">
        <v>1914</v>
      </c>
      <c r="BZ96" t="s">
        <v>528</v>
      </c>
      <c r="CA96" t="s">
        <v>526</v>
      </c>
      <c r="CB96" t="s">
        <v>703</v>
      </c>
      <c r="CC96">
        <v>455</v>
      </c>
      <c r="CE96" t="s">
        <v>569</v>
      </c>
      <c r="CF96" t="s">
        <v>574</v>
      </c>
      <c r="CH96" t="s">
        <v>108</v>
      </c>
      <c r="CI96">
        <v>96</v>
      </c>
      <c r="CJ96" t="s">
        <v>706</v>
      </c>
    </row>
    <row r="97" spans="52:88" x14ac:dyDescent="0.25">
      <c r="AZ97" s="17" t="s">
        <v>108</v>
      </c>
      <c r="BA97" s="17" t="s">
        <v>108</v>
      </c>
      <c r="BB97" s="17" t="s">
        <v>108</v>
      </c>
      <c r="BZ97" t="s">
        <v>528</v>
      </c>
      <c r="CA97" t="s">
        <v>527</v>
      </c>
      <c r="CB97" t="s">
        <v>704</v>
      </c>
      <c r="CC97">
        <v>1080</v>
      </c>
      <c r="CE97" t="s">
        <v>569</v>
      </c>
      <c r="CF97" t="s">
        <v>575</v>
      </c>
      <c r="CH97" t="s">
        <v>108</v>
      </c>
      <c r="CI97">
        <v>97</v>
      </c>
      <c r="CJ97" t="s">
        <v>706</v>
      </c>
    </row>
    <row r="98" spans="52:88" x14ac:dyDescent="0.25">
      <c r="AZ98" s="17" t="s">
        <v>1915</v>
      </c>
      <c r="BA98" s="17" t="s">
        <v>1915</v>
      </c>
      <c r="BB98" s="17" t="s">
        <v>1915</v>
      </c>
      <c r="BZ98" t="s">
        <v>528</v>
      </c>
      <c r="CA98" t="s">
        <v>1265</v>
      </c>
      <c r="CB98" t="s">
        <v>1266</v>
      </c>
      <c r="CC98">
        <v>1610</v>
      </c>
      <c r="CE98" t="s">
        <v>569</v>
      </c>
      <c r="CF98" t="s">
        <v>1267</v>
      </c>
      <c r="CH98" t="s">
        <v>108</v>
      </c>
      <c r="CI98">
        <v>98</v>
      </c>
      <c r="CJ98" t="s">
        <v>707</v>
      </c>
    </row>
    <row r="99" spans="52:88" x14ac:dyDescent="0.25">
      <c r="BZ99" t="s">
        <v>528</v>
      </c>
      <c r="CA99" t="s">
        <v>1268</v>
      </c>
      <c r="CB99" t="s">
        <v>1269</v>
      </c>
      <c r="CC99">
        <v>2140</v>
      </c>
      <c r="CE99" t="s">
        <v>569</v>
      </c>
      <c r="CF99" t="s">
        <v>1270</v>
      </c>
      <c r="CH99" t="s">
        <v>108</v>
      </c>
      <c r="CI99">
        <v>99</v>
      </c>
      <c r="CJ99" t="s">
        <v>1207</v>
      </c>
    </row>
    <row r="100" spans="52:88" x14ac:dyDescent="0.25">
      <c r="BZ100" t="s">
        <v>541</v>
      </c>
      <c r="CA100" t="s">
        <v>474</v>
      </c>
      <c r="CC100">
        <v>227</v>
      </c>
      <c r="CE100" t="s">
        <v>576</v>
      </c>
      <c r="CF100" t="s">
        <v>577</v>
      </c>
      <c r="CH100" t="s">
        <v>108</v>
      </c>
      <c r="CI100">
        <v>100</v>
      </c>
      <c r="CJ100" t="s">
        <v>706</v>
      </c>
    </row>
    <row r="101" spans="52:88" x14ac:dyDescent="0.25">
      <c r="BZ101" t="s">
        <v>541</v>
      </c>
      <c r="CA101" t="s">
        <v>529</v>
      </c>
      <c r="CC101">
        <v>364</v>
      </c>
      <c r="CE101" t="s">
        <v>576</v>
      </c>
      <c r="CF101" t="s">
        <v>578</v>
      </c>
      <c r="CH101" t="s">
        <v>108</v>
      </c>
      <c r="CI101">
        <v>101</v>
      </c>
      <c r="CJ101" t="s">
        <v>706</v>
      </c>
    </row>
    <row r="102" spans="52:88" x14ac:dyDescent="0.25">
      <c r="BZ102" t="s">
        <v>541</v>
      </c>
      <c r="CA102" t="s">
        <v>1205</v>
      </c>
      <c r="CC102">
        <v>398</v>
      </c>
      <c r="CE102" t="s">
        <v>576</v>
      </c>
      <c r="CF102" t="s">
        <v>1247</v>
      </c>
      <c r="CH102" t="s">
        <v>108</v>
      </c>
      <c r="CI102">
        <v>102</v>
      </c>
      <c r="CJ102" t="s">
        <v>706</v>
      </c>
    </row>
    <row r="103" spans="52:88" x14ac:dyDescent="0.25">
      <c r="BZ103" t="s">
        <v>541</v>
      </c>
      <c r="CA103" t="s">
        <v>530</v>
      </c>
      <c r="CC103">
        <v>456</v>
      </c>
      <c r="CE103" t="s">
        <v>576</v>
      </c>
      <c r="CF103" t="s">
        <v>574</v>
      </c>
      <c r="CH103" t="s">
        <v>108</v>
      </c>
      <c r="CI103">
        <v>103</v>
      </c>
      <c r="CJ103" t="s">
        <v>707</v>
      </c>
    </row>
    <row r="104" spans="52:88" x14ac:dyDescent="0.25">
      <c r="BZ104" t="s">
        <v>541</v>
      </c>
      <c r="CA104" t="s">
        <v>1175</v>
      </c>
      <c r="CC104">
        <v>1080</v>
      </c>
      <c r="CE104" t="s">
        <v>576</v>
      </c>
      <c r="CF104" t="s">
        <v>575</v>
      </c>
      <c r="CH104" t="s">
        <v>108</v>
      </c>
      <c r="CI104">
        <v>104</v>
      </c>
      <c r="CJ104" t="s">
        <v>707</v>
      </c>
    </row>
    <row r="105" spans="52:88" x14ac:dyDescent="0.25">
      <c r="CA105" t="s">
        <v>1038</v>
      </c>
      <c r="CC105" t="s">
        <v>658</v>
      </c>
      <c r="CI105">
        <v>105</v>
      </c>
    </row>
    <row r="106" spans="52:88" x14ac:dyDescent="0.25">
      <c r="BZ106" t="s">
        <v>476</v>
      </c>
      <c r="CA106" t="s">
        <v>532</v>
      </c>
      <c r="CB106" t="s">
        <v>690</v>
      </c>
      <c r="CC106">
        <v>46</v>
      </c>
      <c r="CE106" t="s">
        <v>579</v>
      </c>
      <c r="CF106" t="s">
        <v>580</v>
      </c>
      <c r="CH106" t="s">
        <v>108</v>
      </c>
      <c r="CI106">
        <v>106</v>
      </c>
      <c r="CJ106" t="s">
        <v>706</v>
      </c>
    </row>
    <row r="107" spans="52:88" x14ac:dyDescent="0.25">
      <c r="BZ107" t="s">
        <v>476</v>
      </c>
      <c r="CA107" t="s">
        <v>533</v>
      </c>
      <c r="CB107" t="s">
        <v>691</v>
      </c>
      <c r="CC107">
        <v>66</v>
      </c>
      <c r="CE107" t="s">
        <v>579</v>
      </c>
      <c r="CF107" t="s">
        <v>581</v>
      </c>
      <c r="CH107" t="s">
        <v>108</v>
      </c>
      <c r="CI107">
        <v>107</v>
      </c>
      <c r="CJ107" t="s">
        <v>706</v>
      </c>
    </row>
    <row r="108" spans="52:88" x14ac:dyDescent="0.25">
      <c r="BZ108" t="s">
        <v>476</v>
      </c>
      <c r="CA108" t="s">
        <v>534</v>
      </c>
      <c r="CB108" t="s">
        <v>692</v>
      </c>
      <c r="CC108">
        <v>95</v>
      </c>
      <c r="CE108" t="s">
        <v>579</v>
      </c>
      <c r="CF108" t="s">
        <v>582</v>
      </c>
      <c r="CH108" t="s">
        <v>108</v>
      </c>
      <c r="CI108">
        <v>108</v>
      </c>
      <c r="CJ108" t="s">
        <v>706</v>
      </c>
    </row>
    <row r="109" spans="52:88" x14ac:dyDescent="0.25">
      <c r="BZ109" t="s">
        <v>476</v>
      </c>
      <c r="CA109" t="s">
        <v>535</v>
      </c>
      <c r="CB109" t="s">
        <v>693</v>
      </c>
      <c r="CC109">
        <v>138</v>
      </c>
      <c r="CE109" t="s">
        <v>579</v>
      </c>
      <c r="CF109" t="s">
        <v>571</v>
      </c>
      <c r="CH109" t="s">
        <v>108</v>
      </c>
      <c r="CI109">
        <v>109</v>
      </c>
      <c r="CJ109" t="s">
        <v>706</v>
      </c>
    </row>
    <row r="110" spans="52:88" x14ac:dyDescent="0.25">
      <c r="BZ110" t="s">
        <v>476</v>
      </c>
      <c r="CA110" t="s">
        <v>536</v>
      </c>
      <c r="CB110" t="s">
        <v>694</v>
      </c>
      <c r="CC110">
        <v>188</v>
      </c>
      <c r="CE110" t="s">
        <v>579</v>
      </c>
      <c r="CF110" t="s">
        <v>583</v>
      </c>
      <c r="CH110" t="s">
        <v>108</v>
      </c>
      <c r="CI110">
        <v>110</v>
      </c>
      <c r="CJ110" t="s">
        <v>706</v>
      </c>
    </row>
    <row r="111" spans="52:88" x14ac:dyDescent="0.25">
      <c r="BZ111" t="s">
        <v>476</v>
      </c>
      <c r="CA111" t="s">
        <v>537</v>
      </c>
      <c r="CB111" t="s">
        <v>695</v>
      </c>
      <c r="CC111">
        <v>250</v>
      </c>
      <c r="CE111" t="s">
        <v>579</v>
      </c>
      <c r="CF111" t="s">
        <v>577</v>
      </c>
      <c r="CH111" t="s">
        <v>108</v>
      </c>
      <c r="CI111">
        <v>111</v>
      </c>
      <c r="CJ111" t="s">
        <v>706</v>
      </c>
    </row>
    <row r="112" spans="52:88" x14ac:dyDescent="0.25">
      <c r="BZ112" t="s">
        <v>476</v>
      </c>
      <c r="CA112" t="s">
        <v>538</v>
      </c>
      <c r="CB112" t="s">
        <v>696</v>
      </c>
      <c r="CC112">
        <v>295</v>
      </c>
      <c r="CE112" t="s">
        <v>579</v>
      </c>
      <c r="CF112" t="s">
        <v>573</v>
      </c>
      <c r="CH112" t="s">
        <v>108</v>
      </c>
      <c r="CI112">
        <v>112</v>
      </c>
      <c r="CJ112" t="s">
        <v>706</v>
      </c>
    </row>
    <row r="113" spans="78:88" x14ac:dyDescent="0.25">
      <c r="BZ113" t="s">
        <v>476</v>
      </c>
      <c r="CA113" t="s">
        <v>539</v>
      </c>
      <c r="CB113" t="s">
        <v>697</v>
      </c>
      <c r="CC113">
        <v>465</v>
      </c>
      <c r="CE113" t="s">
        <v>579</v>
      </c>
      <c r="CF113" t="s">
        <v>574</v>
      </c>
      <c r="CH113" t="s">
        <v>108</v>
      </c>
      <c r="CI113">
        <v>113</v>
      </c>
      <c r="CJ113" t="s">
        <v>706</v>
      </c>
    </row>
    <row r="114" spans="78:88" x14ac:dyDescent="0.25">
      <c r="BZ114" t="s">
        <v>476</v>
      </c>
      <c r="CA114" t="s">
        <v>540</v>
      </c>
      <c r="CB114" t="s">
        <v>698</v>
      </c>
      <c r="CC114">
        <v>1100</v>
      </c>
      <c r="CE114" t="s">
        <v>579</v>
      </c>
      <c r="CF114" t="s">
        <v>575</v>
      </c>
      <c r="CH114" t="s">
        <v>108</v>
      </c>
      <c r="CI114">
        <v>114</v>
      </c>
      <c r="CJ114" t="s">
        <v>706</v>
      </c>
    </row>
    <row r="115" spans="78:88" x14ac:dyDescent="0.25">
      <c r="CA115" t="s">
        <v>1038</v>
      </c>
      <c r="CC115" t="s">
        <v>658</v>
      </c>
      <c r="CH115" t="s">
        <v>108</v>
      </c>
      <c r="CI115">
        <v>115</v>
      </c>
    </row>
    <row r="116" spans="78:88" x14ac:dyDescent="0.25">
      <c r="BZ116" t="s">
        <v>531</v>
      </c>
      <c r="CA116" t="s">
        <v>542</v>
      </c>
      <c r="CB116" t="s">
        <v>683</v>
      </c>
      <c r="CC116">
        <v>50</v>
      </c>
      <c r="CE116" t="s">
        <v>584</v>
      </c>
      <c r="CF116" t="s">
        <v>585</v>
      </c>
      <c r="CH116" t="s">
        <v>108</v>
      </c>
      <c r="CI116">
        <v>116</v>
      </c>
      <c r="CJ116" t="s">
        <v>706</v>
      </c>
    </row>
    <row r="117" spans="78:88" x14ac:dyDescent="0.25">
      <c r="BZ117" t="s">
        <v>531</v>
      </c>
      <c r="CA117" t="s">
        <v>543</v>
      </c>
      <c r="CB117" t="s">
        <v>684</v>
      </c>
      <c r="CC117">
        <v>74</v>
      </c>
      <c r="CE117" t="s">
        <v>584</v>
      </c>
      <c r="CF117" t="s">
        <v>581</v>
      </c>
      <c r="CH117" t="s">
        <v>108</v>
      </c>
      <c r="CI117">
        <v>117</v>
      </c>
      <c r="CJ117" t="s">
        <v>706</v>
      </c>
    </row>
    <row r="118" spans="78:88" x14ac:dyDescent="0.25">
      <c r="BZ118" t="s">
        <v>531</v>
      </c>
      <c r="CA118" t="s">
        <v>544</v>
      </c>
      <c r="CB118" t="s">
        <v>685</v>
      </c>
      <c r="CC118">
        <v>93</v>
      </c>
      <c r="CE118" t="s">
        <v>584</v>
      </c>
      <c r="CF118" t="s">
        <v>586</v>
      </c>
      <c r="CH118" t="s">
        <v>108</v>
      </c>
      <c r="CI118">
        <v>118</v>
      </c>
      <c r="CJ118" t="s">
        <v>706</v>
      </c>
    </row>
    <row r="119" spans="78:88" x14ac:dyDescent="0.25">
      <c r="BZ119" t="s">
        <v>531</v>
      </c>
      <c r="CA119" t="s">
        <v>545</v>
      </c>
      <c r="CB119" t="s">
        <v>686</v>
      </c>
      <c r="CC119">
        <v>125</v>
      </c>
      <c r="CE119" t="s">
        <v>584</v>
      </c>
      <c r="CF119" t="s">
        <v>571</v>
      </c>
      <c r="CH119" t="s">
        <v>108</v>
      </c>
      <c r="CI119">
        <v>119</v>
      </c>
      <c r="CJ119" t="s">
        <v>706</v>
      </c>
    </row>
    <row r="120" spans="78:88" x14ac:dyDescent="0.25">
      <c r="BZ120" t="s">
        <v>531</v>
      </c>
      <c r="CA120" t="s">
        <v>546</v>
      </c>
      <c r="CB120" t="s">
        <v>687</v>
      </c>
      <c r="CC120">
        <v>205</v>
      </c>
      <c r="CE120" t="s">
        <v>584</v>
      </c>
      <c r="CF120" t="s">
        <v>572</v>
      </c>
      <c r="CH120" t="s">
        <v>108</v>
      </c>
      <c r="CI120">
        <v>120</v>
      </c>
      <c r="CJ120" t="s">
        <v>706</v>
      </c>
    </row>
    <row r="121" spans="78:88" x14ac:dyDescent="0.25">
      <c r="BZ121" t="s">
        <v>531</v>
      </c>
      <c r="CA121" t="s">
        <v>547</v>
      </c>
      <c r="CB121" t="s">
        <v>688</v>
      </c>
      <c r="CC121">
        <v>290</v>
      </c>
      <c r="CE121" t="s">
        <v>584</v>
      </c>
      <c r="CF121" t="s">
        <v>573</v>
      </c>
      <c r="CH121" t="s">
        <v>108</v>
      </c>
      <c r="CI121">
        <v>121</v>
      </c>
      <c r="CJ121" t="s">
        <v>706</v>
      </c>
    </row>
    <row r="122" spans="78:88" x14ac:dyDescent="0.25">
      <c r="BZ122" t="s">
        <v>531</v>
      </c>
      <c r="CA122" t="s">
        <v>548</v>
      </c>
      <c r="CB122" t="s">
        <v>689</v>
      </c>
      <c r="CC122">
        <v>455</v>
      </c>
      <c r="CE122" t="s">
        <v>584</v>
      </c>
      <c r="CF122" t="s">
        <v>574</v>
      </c>
      <c r="CH122" t="s">
        <v>108</v>
      </c>
      <c r="CI122">
        <v>122</v>
      </c>
      <c r="CJ122" t="s">
        <v>706</v>
      </c>
    </row>
    <row r="123" spans="78:88" x14ac:dyDescent="0.25">
      <c r="BZ123" t="s">
        <v>531</v>
      </c>
      <c r="CA123" t="s">
        <v>1210</v>
      </c>
      <c r="CB123" t="s">
        <v>1248</v>
      </c>
      <c r="CC123">
        <v>1075</v>
      </c>
      <c r="CE123" t="s">
        <v>584</v>
      </c>
      <c r="CF123" t="s">
        <v>575</v>
      </c>
      <c r="CH123" t="s">
        <v>108</v>
      </c>
      <c r="CI123">
        <v>123</v>
      </c>
      <c r="CJ123" t="s">
        <v>707</v>
      </c>
    </row>
  </sheetData>
  <sheetProtection algorithmName="SHA-512" hashValue="YRuuj3fHcXuasQQBtoSDEyPyRwSNYZSG0WSDGaKK+ghybWwYywBg8U9nCBBFg6s3gdx34liPtqW+FINHPFQ9iw==" saltValue="6eH9LebhqvgitB/TnXxJbg==" spinCount="100000" sheet="1" objects="1" scenarios="1"/>
  <phoneticPr fontId="128" type="noConversion"/>
  <pageMargins left="0.7" right="0.7" top="0.75" bottom="0.75" header="0.3" footer="0.3"/>
  <pageSetup scale="11" orientation="landscape"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4:AA117"/>
  <sheetViews>
    <sheetView topLeftCell="F1" workbookViewId="0">
      <selection activeCell="Y6" sqref="Y6"/>
    </sheetView>
  </sheetViews>
  <sheetFormatPr defaultColWidth="0" defaultRowHeight="15" x14ac:dyDescent="0.25"/>
  <cols>
    <col min="1" max="1" width="28" customWidth="1"/>
    <col min="2" max="4" width="9.140625" customWidth="1"/>
    <col min="5" max="5" width="21" customWidth="1"/>
    <col min="6" max="6" width="16.85546875" customWidth="1"/>
    <col min="7" max="9" width="9.140625" customWidth="1"/>
    <col min="10" max="10" width="17.28515625" customWidth="1"/>
    <col min="11" max="11" width="16" customWidth="1"/>
    <col min="12" max="12" width="11.85546875" customWidth="1"/>
    <col min="13" max="14" width="9.140625" customWidth="1"/>
    <col min="15" max="15" width="25.85546875" customWidth="1"/>
    <col min="16" max="16" width="26.42578125" customWidth="1"/>
    <col min="17" max="17" width="11.5703125" customWidth="1"/>
    <col min="18" max="20" width="9.140625" customWidth="1"/>
    <col min="21" max="21" width="10.28515625" customWidth="1"/>
    <col min="22" max="27" width="9.140625" customWidth="1"/>
    <col min="28" max="16384" width="9.140625" hidden="1"/>
  </cols>
  <sheetData>
    <row r="4" spans="1:26" x14ac:dyDescent="0.25">
      <c r="A4" t="s">
        <v>217</v>
      </c>
      <c r="B4" t="s">
        <v>1125</v>
      </c>
      <c r="E4" t="s">
        <v>233</v>
      </c>
      <c r="F4" t="s">
        <v>334</v>
      </c>
      <c r="J4" t="s">
        <v>335</v>
      </c>
      <c r="K4" t="s">
        <v>1125</v>
      </c>
      <c r="O4" t="s">
        <v>350</v>
      </c>
      <c r="P4" t="s">
        <v>85</v>
      </c>
      <c r="Q4" t="s">
        <v>346</v>
      </c>
      <c r="R4" t="s">
        <v>347</v>
      </c>
      <c r="S4" t="s">
        <v>345</v>
      </c>
      <c r="T4" t="s">
        <v>178</v>
      </c>
      <c r="U4" t="s">
        <v>74</v>
      </c>
      <c r="V4" t="s">
        <v>67</v>
      </c>
      <c r="W4" t="s">
        <v>68</v>
      </c>
      <c r="X4" t="s">
        <v>82</v>
      </c>
      <c r="Y4" t="s">
        <v>349</v>
      </c>
      <c r="Z4" t="s">
        <v>996</v>
      </c>
    </row>
    <row r="5" spans="1:26" x14ac:dyDescent="0.25">
      <c r="A5" t="s">
        <v>218</v>
      </c>
      <c r="B5">
        <v>1.07</v>
      </c>
      <c r="E5" t="s">
        <v>234</v>
      </c>
      <c r="F5" t="s">
        <v>235</v>
      </c>
      <c r="J5" t="s">
        <v>338</v>
      </c>
      <c r="K5">
        <v>1.07</v>
      </c>
      <c r="O5" t="s">
        <v>984</v>
      </c>
      <c r="P5">
        <f>M02S02F47</f>
        <v>0</v>
      </c>
      <c r="Q5">
        <f>M02S02F02</f>
        <v>0</v>
      </c>
      <c r="R5">
        <f>M02S02F03</f>
        <v>0</v>
      </c>
      <c r="S5">
        <f>M02S02F05</f>
        <v>0</v>
      </c>
      <c r="T5">
        <f>M02S02F07</f>
        <v>0</v>
      </c>
      <c r="U5">
        <f>M02S02F22</f>
        <v>0</v>
      </c>
      <c r="V5">
        <f>M02S02F23</f>
        <v>0</v>
      </c>
      <c r="W5" t="str">
        <f>M02S02F24</f>
        <v>MO</v>
      </c>
      <c r="X5">
        <f>M02S02F25</f>
        <v>0</v>
      </c>
      <c r="Y5" t="s">
        <v>986</v>
      </c>
      <c r="Z5" t="s">
        <v>114</v>
      </c>
    </row>
    <row r="6" spans="1:26" x14ac:dyDescent="0.25">
      <c r="A6" t="s">
        <v>219</v>
      </c>
      <c r="B6">
        <v>1.07</v>
      </c>
      <c r="E6" t="s">
        <v>238</v>
      </c>
      <c r="F6" t="s">
        <v>239</v>
      </c>
      <c r="J6" t="s">
        <v>339</v>
      </c>
      <c r="K6">
        <v>1.07</v>
      </c>
      <c r="O6" t="s">
        <v>983</v>
      </c>
      <c r="P6">
        <f>M02S02F47</f>
        <v>0</v>
      </c>
      <c r="Q6">
        <f>M02S02F02</f>
        <v>0</v>
      </c>
      <c r="R6">
        <f>M02S02F03</f>
        <v>0</v>
      </c>
      <c r="S6">
        <f>M02S02F05</f>
        <v>0</v>
      </c>
      <c r="T6">
        <f>M02S02F07</f>
        <v>0</v>
      </c>
      <c r="U6">
        <f>M02S02F22</f>
        <v>0</v>
      </c>
      <c r="V6">
        <f>M02S02F23</f>
        <v>0</v>
      </c>
      <c r="W6" t="str">
        <f>M02S02F24</f>
        <v>MO</v>
      </c>
      <c r="X6">
        <f>M02S02F25</f>
        <v>0</v>
      </c>
      <c r="Y6" t="s">
        <v>2140</v>
      </c>
      <c r="Z6" t="s">
        <v>348</v>
      </c>
    </row>
    <row r="7" spans="1:26" x14ac:dyDescent="0.25">
      <c r="A7" t="s">
        <v>1075</v>
      </c>
      <c r="B7">
        <v>1.07</v>
      </c>
      <c r="E7" t="s">
        <v>242</v>
      </c>
      <c r="F7" t="s">
        <v>243</v>
      </c>
      <c r="J7" t="s">
        <v>112</v>
      </c>
      <c r="K7">
        <v>1.07</v>
      </c>
      <c r="O7" t="s">
        <v>987</v>
      </c>
      <c r="P7">
        <f>M02S03F02</f>
        <v>0</v>
      </c>
      <c r="Q7">
        <f>M02S03F03</f>
        <v>0</v>
      </c>
      <c r="R7">
        <f>M02S03F04</f>
        <v>0</v>
      </c>
      <c r="S7">
        <f>M02S03F06</f>
        <v>0</v>
      </c>
      <c r="T7">
        <f>M02S03F08</f>
        <v>0</v>
      </c>
      <c r="U7" t="s">
        <v>1777</v>
      </c>
      <c r="V7" t="s">
        <v>1778</v>
      </c>
      <c r="W7" t="s">
        <v>1882</v>
      </c>
      <c r="X7" t="s">
        <v>1883</v>
      </c>
      <c r="Y7" t="s">
        <v>2141</v>
      </c>
      <c r="Z7" t="s">
        <v>988</v>
      </c>
    </row>
    <row r="8" spans="1:26" x14ac:dyDescent="0.25">
      <c r="A8" t="s">
        <v>220</v>
      </c>
      <c r="B8">
        <v>1.07</v>
      </c>
      <c r="E8" t="s">
        <v>246</v>
      </c>
      <c r="F8" t="s">
        <v>247</v>
      </c>
      <c r="J8" t="s">
        <v>340</v>
      </c>
      <c r="K8">
        <v>1</v>
      </c>
    </row>
    <row r="9" spans="1:26" x14ac:dyDescent="0.25">
      <c r="A9" t="s">
        <v>221</v>
      </c>
      <c r="B9">
        <v>1.07</v>
      </c>
      <c r="E9" t="s">
        <v>250</v>
      </c>
      <c r="F9" t="s">
        <v>251</v>
      </c>
      <c r="J9" t="s">
        <v>341</v>
      </c>
      <c r="K9">
        <v>1</v>
      </c>
    </row>
    <row r="10" spans="1:26" x14ac:dyDescent="0.25">
      <c r="A10" t="s">
        <v>222</v>
      </c>
      <c r="B10">
        <v>1.07</v>
      </c>
      <c r="E10" t="s">
        <v>254</v>
      </c>
      <c r="F10" t="s">
        <v>255</v>
      </c>
      <c r="J10" t="s">
        <v>1126</v>
      </c>
      <c r="K10">
        <v>1</v>
      </c>
    </row>
    <row r="11" spans="1:26" x14ac:dyDescent="0.25">
      <c r="A11" t="s">
        <v>223</v>
      </c>
      <c r="B11">
        <v>1.07</v>
      </c>
      <c r="E11" t="s">
        <v>258</v>
      </c>
      <c r="F11" t="s">
        <v>259</v>
      </c>
    </row>
    <row r="12" spans="1:26" x14ac:dyDescent="0.25">
      <c r="A12" t="s">
        <v>224</v>
      </c>
      <c r="B12">
        <v>1.07</v>
      </c>
      <c r="E12" t="s">
        <v>262</v>
      </c>
      <c r="F12" t="s">
        <v>263</v>
      </c>
      <c r="J12" t="s">
        <v>459</v>
      </c>
      <c r="K12" t="s">
        <v>460</v>
      </c>
      <c r="L12" t="s">
        <v>841</v>
      </c>
      <c r="M12" t="s">
        <v>790</v>
      </c>
      <c r="O12" t="s">
        <v>1304</v>
      </c>
      <c r="P12" t="s">
        <v>1305</v>
      </c>
      <c r="Q12" t="s">
        <v>1306</v>
      </c>
    </row>
    <row r="13" spans="1:26" x14ac:dyDescent="0.25">
      <c r="A13" t="s">
        <v>225</v>
      </c>
      <c r="B13">
        <v>1.07</v>
      </c>
      <c r="E13" t="s">
        <v>1884</v>
      </c>
      <c r="F13" t="s">
        <v>1885</v>
      </c>
      <c r="J13" t="s">
        <v>418</v>
      </c>
      <c r="K13" s="88">
        <v>1.379439E-4</v>
      </c>
      <c r="L13">
        <v>1.3794386832966736E-4</v>
      </c>
      <c r="M13">
        <v>0.08</v>
      </c>
      <c r="O13" t="s">
        <v>982</v>
      </c>
      <c r="P13" t="s">
        <v>982</v>
      </c>
      <c r="Q13" t="s">
        <v>982</v>
      </c>
    </row>
    <row r="14" spans="1:26" x14ac:dyDescent="0.25">
      <c r="A14" t="s">
        <v>226</v>
      </c>
      <c r="B14">
        <v>1.07</v>
      </c>
      <c r="E14" t="s">
        <v>266</v>
      </c>
      <c r="F14" t="s">
        <v>267</v>
      </c>
      <c r="J14" t="s">
        <v>419</v>
      </c>
      <c r="K14" s="88">
        <v>4.4398300000000001E-4</v>
      </c>
      <c r="L14">
        <v>4.4398300085072174E-4</v>
      </c>
      <c r="M14">
        <v>0.12</v>
      </c>
      <c r="O14" t="s">
        <v>983</v>
      </c>
      <c r="P14" t="s">
        <v>983</v>
      </c>
      <c r="Q14" t="s">
        <v>983</v>
      </c>
    </row>
    <row r="15" spans="1:26" x14ac:dyDescent="0.25">
      <c r="A15" t="s">
        <v>227</v>
      </c>
      <c r="B15">
        <v>1.07</v>
      </c>
      <c r="E15" t="s">
        <v>270</v>
      </c>
      <c r="F15" t="s">
        <v>271</v>
      </c>
      <c r="J15" t="s">
        <v>420</v>
      </c>
      <c r="K15" s="88">
        <v>1.998949E-4</v>
      </c>
      <c r="L15">
        <v>1.9989494536010611E-4</v>
      </c>
      <c r="M15">
        <v>0.09</v>
      </c>
      <c r="O15" t="s">
        <v>984</v>
      </c>
      <c r="P15" t="s">
        <v>984</v>
      </c>
      <c r="Q15" t="s">
        <v>984</v>
      </c>
    </row>
    <row r="16" spans="1:26" x14ac:dyDescent="0.25">
      <c r="A16" t="s">
        <v>228</v>
      </c>
      <c r="B16">
        <v>1.07</v>
      </c>
      <c r="E16" t="s">
        <v>274</v>
      </c>
      <c r="F16" t="s">
        <v>275</v>
      </c>
      <c r="J16" t="s">
        <v>421</v>
      </c>
      <c r="K16" s="88">
        <v>9.1068400000000004E-4</v>
      </c>
      <c r="L16">
        <v>9.1068395835808389E-4</v>
      </c>
      <c r="M16">
        <v>0.18</v>
      </c>
      <c r="O16" t="s">
        <v>987</v>
      </c>
    </row>
    <row r="17" spans="1:13" x14ac:dyDescent="0.25">
      <c r="A17" t="s">
        <v>229</v>
      </c>
      <c r="B17">
        <v>1.07</v>
      </c>
      <c r="E17" t="s">
        <v>278</v>
      </c>
      <c r="F17" t="s">
        <v>279</v>
      </c>
      <c r="J17" t="s">
        <v>422</v>
      </c>
      <c r="K17" s="88">
        <v>5.6160000000000001E-6</v>
      </c>
      <c r="L17">
        <v>5.6159599577408315E-6</v>
      </c>
      <c r="M17">
        <v>0</v>
      </c>
    </row>
    <row r="18" spans="1:13" x14ac:dyDescent="0.25">
      <c r="A18" t="s">
        <v>230</v>
      </c>
      <c r="B18">
        <v>1.07</v>
      </c>
      <c r="E18" t="s">
        <v>282</v>
      </c>
      <c r="F18" t="s">
        <v>283</v>
      </c>
      <c r="J18" t="s">
        <v>423</v>
      </c>
      <c r="K18" s="88">
        <v>0</v>
      </c>
      <c r="L18">
        <v>0</v>
      </c>
      <c r="M18">
        <v>0</v>
      </c>
    </row>
    <row r="19" spans="1:13" x14ac:dyDescent="0.25">
      <c r="A19" t="s">
        <v>231</v>
      </c>
      <c r="B19">
        <v>1.07</v>
      </c>
      <c r="E19" t="s">
        <v>286</v>
      </c>
      <c r="F19" t="s">
        <v>287</v>
      </c>
      <c r="J19" t="s">
        <v>111</v>
      </c>
      <c r="K19" s="88">
        <v>4.4398300000000001E-4</v>
      </c>
      <c r="L19">
        <v>4.4398300085072174E-4</v>
      </c>
      <c r="M19">
        <v>0.12</v>
      </c>
    </row>
    <row r="20" spans="1:13" x14ac:dyDescent="0.25">
      <c r="A20" t="s">
        <v>232</v>
      </c>
      <c r="B20">
        <v>1.07</v>
      </c>
      <c r="E20" t="s">
        <v>290</v>
      </c>
      <c r="F20" t="s">
        <v>291</v>
      </c>
      <c r="J20" t="s">
        <v>105</v>
      </c>
      <c r="K20" s="88">
        <v>1.899635E-4</v>
      </c>
      <c r="L20">
        <v>1.89963546210424E-4</v>
      </c>
      <c r="M20">
        <v>0.08</v>
      </c>
    </row>
    <row r="21" spans="1:13" x14ac:dyDescent="0.25">
      <c r="E21" t="s">
        <v>294</v>
      </c>
      <c r="F21" t="s">
        <v>295</v>
      </c>
      <c r="J21" t="s">
        <v>424</v>
      </c>
      <c r="K21" s="88">
        <v>1.379439E-4</v>
      </c>
      <c r="L21">
        <v>1.3794386832966736E-4</v>
      </c>
      <c r="M21">
        <v>7.0000000000000007E-2</v>
      </c>
    </row>
    <row r="22" spans="1:13" x14ac:dyDescent="0.25">
      <c r="E22" t="s">
        <v>298</v>
      </c>
      <c r="F22" t="s">
        <v>299</v>
      </c>
      <c r="J22" t="s">
        <v>425</v>
      </c>
      <c r="K22" s="88">
        <v>1.379439E-4</v>
      </c>
      <c r="L22">
        <v>1.3794386832966736E-4</v>
      </c>
      <c r="M22">
        <v>7.0000000000000007E-2</v>
      </c>
    </row>
    <row r="23" spans="1:13" x14ac:dyDescent="0.25">
      <c r="A23" t="s">
        <v>176</v>
      </c>
      <c r="E23" t="s">
        <v>302</v>
      </c>
      <c r="F23" t="s">
        <v>303</v>
      </c>
      <c r="J23" t="s">
        <v>175</v>
      </c>
      <c r="K23" s="88">
        <v>1.379439E-4</v>
      </c>
      <c r="L23">
        <v>1.3794386832966736E-4</v>
      </c>
      <c r="M23">
        <v>7.0000000000000007E-2</v>
      </c>
    </row>
    <row r="24" spans="1:13" x14ac:dyDescent="0.25">
      <c r="A24" t="s">
        <v>336</v>
      </c>
      <c r="E24" t="s">
        <v>306</v>
      </c>
      <c r="F24" t="s">
        <v>307</v>
      </c>
      <c r="J24" t="s">
        <v>113</v>
      </c>
      <c r="K24" s="88">
        <v>1.3573829999999999E-4</v>
      </c>
      <c r="L24">
        <v>1.3573833328104119E-4</v>
      </c>
      <c r="M24">
        <v>0.06</v>
      </c>
    </row>
    <row r="25" spans="1:13" x14ac:dyDescent="0.25">
      <c r="A25" t="s">
        <v>104</v>
      </c>
      <c r="E25" t="s">
        <v>310</v>
      </c>
      <c r="F25" t="s">
        <v>311</v>
      </c>
      <c r="J25" t="s">
        <v>176</v>
      </c>
      <c r="K25" s="88">
        <v>1.811545E-4</v>
      </c>
      <c r="L25">
        <v>1.8115452432794247E-4</v>
      </c>
      <c r="M25">
        <v>0.09</v>
      </c>
    </row>
    <row r="26" spans="1:13" x14ac:dyDescent="0.25">
      <c r="A26" t="s">
        <v>337</v>
      </c>
      <c r="E26" t="s">
        <v>314</v>
      </c>
      <c r="F26" t="s">
        <v>315</v>
      </c>
    </row>
    <row r="27" spans="1:13" x14ac:dyDescent="0.25">
      <c r="A27" t="s">
        <v>114</v>
      </c>
      <c r="E27" t="s">
        <v>318</v>
      </c>
      <c r="F27" t="s">
        <v>319</v>
      </c>
    </row>
    <row r="28" spans="1:13" x14ac:dyDescent="0.25">
      <c r="A28" t="s">
        <v>388</v>
      </c>
      <c r="E28" t="s">
        <v>322</v>
      </c>
      <c r="F28" t="s">
        <v>323</v>
      </c>
      <c r="J28" t="s">
        <v>850</v>
      </c>
      <c r="K28" t="s">
        <v>851</v>
      </c>
    </row>
    <row r="29" spans="1:13" x14ac:dyDescent="0.25">
      <c r="A29" t="s">
        <v>389</v>
      </c>
      <c r="E29" t="s">
        <v>326</v>
      </c>
      <c r="F29" t="s">
        <v>327</v>
      </c>
      <c r="J29" t="s">
        <v>866</v>
      </c>
      <c r="K29" t="s">
        <v>869</v>
      </c>
      <c r="M29" t="s">
        <v>1043</v>
      </c>
    </row>
    <row r="30" spans="1:13" x14ac:dyDescent="0.25">
      <c r="A30" t="s">
        <v>749</v>
      </c>
      <c r="E30" t="s">
        <v>330</v>
      </c>
      <c r="F30" t="s">
        <v>331</v>
      </c>
      <c r="J30" t="s">
        <v>853</v>
      </c>
      <c r="K30" t="s">
        <v>869</v>
      </c>
    </row>
    <row r="31" spans="1:13" x14ac:dyDescent="0.25">
      <c r="E31" t="s">
        <v>236</v>
      </c>
      <c r="F31" t="s">
        <v>237</v>
      </c>
      <c r="J31" t="s">
        <v>854</v>
      </c>
      <c r="K31" t="s">
        <v>868</v>
      </c>
    </row>
    <row r="32" spans="1:13" x14ac:dyDescent="0.25">
      <c r="A32" t="s">
        <v>0</v>
      </c>
      <c r="E32" t="s">
        <v>240</v>
      </c>
      <c r="F32" t="s">
        <v>241</v>
      </c>
      <c r="J32" t="s">
        <v>855</v>
      </c>
      <c r="K32" t="s">
        <v>867</v>
      </c>
    </row>
    <row r="33" spans="1:11" x14ac:dyDescent="0.25">
      <c r="A33" t="s">
        <v>968</v>
      </c>
      <c r="E33" t="s">
        <v>244</v>
      </c>
      <c r="F33" t="s">
        <v>245</v>
      </c>
      <c r="J33" t="s">
        <v>856</v>
      </c>
      <c r="K33" t="s">
        <v>869</v>
      </c>
    </row>
    <row r="34" spans="1:11" x14ac:dyDescent="0.25">
      <c r="A34" t="s">
        <v>174</v>
      </c>
      <c r="E34" t="s">
        <v>248</v>
      </c>
      <c r="F34" t="s">
        <v>249</v>
      </c>
      <c r="J34" t="s">
        <v>974</v>
      </c>
      <c r="K34" t="s">
        <v>869</v>
      </c>
    </row>
    <row r="35" spans="1:11" x14ac:dyDescent="0.25">
      <c r="A35" t="s">
        <v>156</v>
      </c>
      <c r="E35" t="s">
        <v>252</v>
      </c>
      <c r="F35" t="s">
        <v>253</v>
      </c>
      <c r="J35" t="s">
        <v>1044</v>
      </c>
      <c r="K35" t="s">
        <v>869</v>
      </c>
    </row>
    <row r="36" spans="1:11" x14ac:dyDescent="0.25">
      <c r="E36" t="s">
        <v>256</v>
      </c>
      <c r="F36" t="s">
        <v>257</v>
      </c>
      <c r="J36" t="s">
        <v>1045</v>
      </c>
      <c r="K36" t="s">
        <v>869</v>
      </c>
    </row>
    <row r="37" spans="1:11" x14ac:dyDescent="0.25">
      <c r="E37" t="s">
        <v>260</v>
      </c>
      <c r="F37" t="s">
        <v>261</v>
      </c>
      <c r="J37" t="s">
        <v>1046</v>
      </c>
      <c r="K37" t="s">
        <v>869</v>
      </c>
    </row>
    <row r="38" spans="1:11" x14ac:dyDescent="0.25">
      <c r="A38" t="s">
        <v>344</v>
      </c>
      <c r="E38" t="s">
        <v>264</v>
      </c>
      <c r="F38" t="s">
        <v>265</v>
      </c>
    </row>
    <row r="39" spans="1:11" x14ac:dyDescent="0.25">
      <c r="A39" t="s">
        <v>342</v>
      </c>
      <c r="E39" t="s">
        <v>268</v>
      </c>
      <c r="F39" t="s">
        <v>269</v>
      </c>
      <c r="J39" t="s">
        <v>857</v>
      </c>
      <c r="K39" t="s">
        <v>858</v>
      </c>
    </row>
    <row r="40" spans="1:11" x14ac:dyDescent="0.25">
      <c r="A40" t="s">
        <v>343</v>
      </c>
      <c r="E40" t="s">
        <v>272</v>
      </c>
      <c r="F40" t="s">
        <v>273</v>
      </c>
      <c r="J40" t="s">
        <v>859</v>
      </c>
      <c r="K40">
        <v>0.10392999999999999</v>
      </c>
    </row>
    <row r="41" spans="1:11" x14ac:dyDescent="0.25">
      <c r="E41" t="s">
        <v>276</v>
      </c>
      <c r="F41" t="s">
        <v>277</v>
      </c>
      <c r="J41" t="s">
        <v>860</v>
      </c>
      <c r="K41">
        <v>9.2289999999999997E-2</v>
      </c>
    </row>
    <row r="42" spans="1:11" x14ac:dyDescent="0.25">
      <c r="E42" t="s">
        <v>280</v>
      </c>
      <c r="F42" t="s">
        <v>281</v>
      </c>
      <c r="J42" t="s">
        <v>861</v>
      </c>
      <c r="K42">
        <v>8.0189999999999997E-2</v>
      </c>
    </row>
    <row r="43" spans="1:11" x14ac:dyDescent="0.25">
      <c r="A43" t="s">
        <v>999</v>
      </c>
      <c r="E43" t="s">
        <v>284</v>
      </c>
      <c r="F43" t="s">
        <v>285</v>
      </c>
      <c r="J43" t="s">
        <v>862</v>
      </c>
      <c r="K43">
        <v>6.1600000000000002E-2</v>
      </c>
    </row>
    <row r="44" spans="1:11" x14ac:dyDescent="0.25">
      <c r="A44" t="s">
        <v>2063</v>
      </c>
      <c r="E44" t="s">
        <v>288</v>
      </c>
      <c r="F44" t="s">
        <v>289</v>
      </c>
      <c r="J44" t="s">
        <v>863</v>
      </c>
      <c r="K44" t="str">
        <f>""</f>
        <v/>
      </c>
    </row>
    <row r="45" spans="1:11" x14ac:dyDescent="0.25">
      <c r="A45" t="s">
        <v>2058</v>
      </c>
      <c r="E45" t="s">
        <v>292</v>
      </c>
      <c r="F45" t="s">
        <v>293</v>
      </c>
    </row>
    <row r="46" spans="1:11" x14ac:dyDescent="0.25">
      <c r="A46" t="s">
        <v>2091</v>
      </c>
      <c r="E46" t="s">
        <v>296</v>
      </c>
      <c r="F46" t="s">
        <v>297</v>
      </c>
    </row>
    <row r="47" spans="1:11" x14ac:dyDescent="0.25">
      <c r="A47" t="s">
        <v>2059</v>
      </c>
      <c r="E47" t="s">
        <v>300</v>
      </c>
      <c r="F47" t="s">
        <v>301</v>
      </c>
      <c r="J47" t="s">
        <v>351</v>
      </c>
      <c r="K47" t="s">
        <v>917</v>
      </c>
    </row>
    <row r="48" spans="1:11" x14ac:dyDescent="0.25">
      <c r="A48" t="s">
        <v>2079</v>
      </c>
      <c r="E48" t="s">
        <v>304</v>
      </c>
      <c r="F48" t="s">
        <v>305</v>
      </c>
      <c r="J48" t="s">
        <v>365</v>
      </c>
      <c r="K48" t="s">
        <v>918</v>
      </c>
    </row>
    <row r="49" spans="1:11" x14ac:dyDescent="0.25">
      <c r="E49" t="s">
        <v>308</v>
      </c>
      <c r="F49" t="s">
        <v>309</v>
      </c>
      <c r="J49" t="s">
        <v>367</v>
      </c>
      <c r="K49" t="s">
        <v>367</v>
      </c>
    </row>
    <row r="50" spans="1:11" ht="15" customHeight="1" x14ac:dyDescent="0.25">
      <c r="E50" t="s">
        <v>312</v>
      </c>
      <c r="F50" t="s">
        <v>313</v>
      </c>
      <c r="J50" t="s">
        <v>368</v>
      </c>
      <c r="K50" t="s">
        <v>919</v>
      </c>
    </row>
    <row r="51" spans="1:11" x14ac:dyDescent="0.25">
      <c r="E51" t="s">
        <v>316</v>
      </c>
      <c r="F51" t="s">
        <v>317</v>
      </c>
      <c r="J51" t="s">
        <v>369</v>
      </c>
      <c r="K51" t="s">
        <v>920</v>
      </c>
    </row>
    <row r="52" spans="1:11" x14ac:dyDescent="0.25">
      <c r="E52" t="s">
        <v>320</v>
      </c>
      <c r="F52" t="s">
        <v>321</v>
      </c>
      <c r="J52" t="s">
        <v>366</v>
      </c>
      <c r="K52" t="s">
        <v>366</v>
      </c>
    </row>
    <row r="53" spans="1:11" ht="15" customHeight="1" x14ac:dyDescent="0.25">
      <c r="E53" t="s">
        <v>324</v>
      </c>
      <c r="F53" t="s">
        <v>325</v>
      </c>
    </row>
    <row r="54" spans="1:11" x14ac:dyDescent="0.25">
      <c r="A54" s="12" t="s">
        <v>822</v>
      </c>
      <c r="E54" t="s">
        <v>328</v>
      </c>
      <c r="F54" t="s">
        <v>329</v>
      </c>
    </row>
    <row r="55" spans="1:11" x14ac:dyDescent="0.25">
      <c r="A55" t="s">
        <v>823</v>
      </c>
      <c r="E55" t="s">
        <v>332</v>
      </c>
      <c r="F55" t="s">
        <v>333</v>
      </c>
      <c r="J55" t="s">
        <v>1108</v>
      </c>
    </row>
    <row r="56" spans="1:11" x14ac:dyDescent="0.25">
      <c r="A56" t="s">
        <v>824</v>
      </c>
      <c r="E56" t="s">
        <v>1854</v>
      </c>
      <c r="F56" t="s">
        <v>1855</v>
      </c>
      <c r="J56" t="s">
        <v>111</v>
      </c>
    </row>
    <row r="57" spans="1:11" x14ac:dyDescent="0.25">
      <c r="A57" t="s">
        <v>825</v>
      </c>
      <c r="D57" s="171"/>
      <c r="E57" t="s">
        <v>1856</v>
      </c>
      <c r="F57" t="s">
        <v>1857</v>
      </c>
      <c r="J57" t="s">
        <v>421</v>
      </c>
    </row>
    <row r="58" spans="1:11" x14ac:dyDescent="0.25">
      <c r="A58" t="s">
        <v>826</v>
      </c>
      <c r="E58" t="s">
        <v>1858</v>
      </c>
      <c r="F58" t="s">
        <v>1859</v>
      </c>
    </row>
    <row r="59" spans="1:11" x14ac:dyDescent="0.25">
      <c r="A59" t="s">
        <v>827</v>
      </c>
      <c r="E59" t="s">
        <v>1860</v>
      </c>
      <c r="F59" t="s">
        <v>1861</v>
      </c>
      <c r="J59" t="s">
        <v>1109</v>
      </c>
      <c r="K59">
        <v>1.07</v>
      </c>
    </row>
    <row r="60" spans="1:11" x14ac:dyDescent="0.25">
      <c r="A60" t="s">
        <v>828</v>
      </c>
      <c r="E60" t="s">
        <v>1862</v>
      </c>
      <c r="F60" t="s">
        <v>1863</v>
      </c>
    </row>
    <row r="61" spans="1:11" x14ac:dyDescent="0.25">
      <c r="A61" t="s">
        <v>829</v>
      </c>
      <c r="E61" t="s">
        <v>1864</v>
      </c>
      <c r="F61" t="s">
        <v>1865</v>
      </c>
      <c r="J61" t="s">
        <v>1212</v>
      </c>
      <c r="K61" s="54">
        <v>55153</v>
      </c>
    </row>
    <row r="62" spans="1:11" x14ac:dyDescent="0.25">
      <c r="A62" t="s">
        <v>749</v>
      </c>
      <c r="E62" t="s">
        <v>1866</v>
      </c>
      <c r="F62" t="s">
        <v>1867</v>
      </c>
    </row>
    <row r="63" spans="1:11" x14ac:dyDescent="0.25">
      <c r="E63" t="s">
        <v>1868</v>
      </c>
      <c r="F63" t="s">
        <v>1869</v>
      </c>
      <c r="J63" t="s">
        <v>2055</v>
      </c>
      <c r="K63" s="54">
        <v>44531</v>
      </c>
    </row>
    <row r="64" spans="1:11" x14ac:dyDescent="0.25">
      <c r="E64" t="s">
        <v>1870</v>
      </c>
      <c r="F64" t="s">
        <v>1871</v>
      </c>
      <c r="J64" t="s">
        <v>2056</v>
      </c>
      <c r="K64">
        <v>1</v>
      </c>
    </row>
    <row r="65" spans="1:6" x14ac:dyDescent="0.25">
      <c r="A65" t="s">
        <v>830</v>
      </c>
      <c r="E65" t="s">
        <v>1872</v>
      </c>
      <c r="F65" t="s">
        <v>1873</v>
      </c>
    </row>
    <row r="66" spans="1:6" x14ac:dyDescent="0.25">
      <c r="A66" t="s">
        <v>831</v>
      </c>
      <c r="E66" t="s">
        <v>1874</v>
      </c>
      <c r="F66" t="s">
        <v>1875</v>
      </c>
    </row>
    <row r="67" spans="1:6" x14ac:dyDescent="0.25">
      <c r="A67" t="s">
        <v>68</v>
      </c>
      <c r="E67" t="s">
        <v>1876</v>
      </c>
      <c r="F67" t="s">
        <v>1877</v>
      </c>
    </row>
    <row r="68" spans="1:6" x14ac:dyDescent="0.25">
      <c r="A68" t="s">
        <v>832</v>
      </c>
      <c r="E68" t="s">
        <v>1878</v>
      </c>
      <c r="F68" t="s">
        <v>1879</v>
      </c>
    </row>
    <row r="69" spans="1:6" x14ac:dyDescent="0.25">
      <c r="A69" t="s">
        <v>833</v>
      </c>
    </row>
    <row r="71" spans="1:6" x14ac:dyDescent="0.25">
      <c r="A71" t="s">
        <v>371</v>
      </c>
    </row>
    <row r="72" spans="1:6" x14ac:dyDescent="0.25">
      <c r="A72" t="s">
        <v>852</v>
      </c>
      <c r="C72" t="s">
        <v>1783</v>
      </c>
    </row>
    <row r="73" spans="1:6" x14ac:dyDescent="0.25">
      <c r="A73" t="s">
        <v>1775</v>
      </c>
      <c r="C73" t="s">
        <v>1784</v>
      </c>
    </row>
    <row r="74" spans="1:6" x14ac:dyDescent="0.25">
      <c r="A74" t="s">
        <v>973</v>
      </c>
      <c r="C74" t="s">
        <v>1785</v>
      </c>
      <c r="E74" t="s">
        <v>1111</v>
      </c>
      <c r="F74" t="s">
        <v>1112</v>
      </c>
    </row>
    <row r="75" spans="1:6" x14ac:dyDescent="0.25">
      <c r="A75" t="s">
        <v>865</v>
      </c>
      <c r="C75" t="s">
        <v>1786</v>
      </c>
      <c r="E75" t="s">
        <v>106</v>
      </c>
      <c r="F75" s="171" t="s">
        <v>1113</v>
      </c>
    </row>
    <row r="76" spans="1:6" x14ac:dyDescent="0.25">
      <c r="A76" t="s">
        <v>864</v>
      </c>
      <c r="C76" t="s">
        <v>1787</v>
      </c>
      <c r="E76" t="s">
        <v>110</v>
      </c>
      <c r="F76" t="s">
        <v>106</v>
      </c>
    </row>
    <row r="77" spans="1:6" x14ac:dyDescent="0.25">
      <c r="A77" t="s">
        <v>869</v>
      </c>
      <c r="C77" t="s">
        <v>1788</v>
      </c>
    </row>
    <row r="78" spans="1:6" x14ac:dyDescent="0.25">
      <c r="A78" t="s">
        <v>1013</v>
      </c>
      <c r="C78" t="s">
        <v>1789</v>
      </c>
      <c r="E78" s="176"/>
      <c r="F78" s="176"/>
    </row>
    <row r="79" spans="1:6" x14ac:dyDescent="0.25">
      <c r="A79" t="s">
        <v>1134</v>
      </c>
      <c r="C79" t="s">
        <v>1790</v>
      </c>
      <c r="E79" t="s">
        <v>1146</v>
      </c>
      <c r="F79" t="s">
        <v>1145</v>
      </c>
    </row>
    <row r="80" spans="1:6" x14ac:dyDescent="0.25">
      <c r="A80" t="s">
        <v>1776</v>
      </c>
      <c r="C80" t="s">
        <v>1791</v>
      </c>
      <c r="E80">
        <v>2</v>
      </c>
      <c r="F80" t="s">
        <v>1115</v>
      </c>
    </row>
    <row r="81" spans="1:6" x14ac:dyDescent="0.25">
      <c r="A81" t="s">
        <v>1795</v>
      </c>
      <c r="C81" t="s">
        <v>1796</v>
      </c>
      <c r="E81">
        <v>3</v>
      </c>
    </row>
    <row r="82" spans="1:6" x14ac:dyDescent="0.25">
      <c r="A82" t="s">
        <v>1813</v>
      </c>
      <c r="C82" t="s">
        <v>1814</v>
      </c>
      <c r="E82">
        <v>4</v>
      </c>
    </row>
    <row r="83" spans="1:6" x14ac:dyDescent="0.25">
      <c r="E83">
        <v>5</v>
      </c>
    </row>
    <row r="84" spans="1:6" x14ac:dyDescent="0.25">
      <c r="A84" t="s">
        <v>1080</v>
      </c>
      <c r="B84" t="s">
        <v>345</v>
      </c>
      <c r="C84" t="s">
        <v>178</v>
      </c>
      <c r="E84">
        <v>6</v>
      </c>
    </row>
    <row r="85" spans="1:6" x14ac:dyDescent="0.25">
      <c r="A85" t="s">
        <v>2092</v>
      </c>
      <c r="C85" s="11"/>
      <c r="E85">
        <v>8</v>
      </c>
    </row>
    <row r="86" spans="1:6" x14ac:dyDescent="0.25">
      <c r="A86" t="s">
        <v>2110</v>
      </c>
      <c r="C86" s="11"/>
    </row>
    <row r="87" spans="1:6" x14ac:dyDescent="0.25">
      <c r="A87" t="s">
        <v>2062</v>
      </c>
      <c r="C87" s="11"/>
      <c r="F87" t="s">
        <v>1842</v>
      </c>
    </row>
    <row r="88" spans="1:6" x14ac:dyDescent="0.25">
      <c r="A88" t="s">
        <v>1614</v>
      </c>
      <c r="C88" s="11"/>
      <c r="F88" t="s">
        <v>1853</v>
      </c>
    </row>
    <row r="89" spans="1:6" x14ac:dyDescent="0.25">
      <c r="A89" t="s">
        <v>1131</v>
      </c>
      <c r="C89" s="11"/>
      <c r="F89" t="s">
        <v>1843</v>
      </c>
    </row>
    <row r="90" spans="1:6" x14ac:dyDescent="0.25">
      <c r="A90" t="s">
        <v>2093</v>
      </c>
      <c r="C90" s="11"/>
      <c r="F90" t="s">
        <v>1837</v>
      </c>
    </row>
    <row r="91" spans="1:6" x14ac:dyDescent="0.25">
      <c r="C91" s="11"/>
      <c r="F91" t="s">
        <v>1844</v>
      </c>
    </row>
    <row r="92" spans="1:6" x14ac:dyDescent="0.25">
      <c r="F92" t="s">
        <v>1839</v>
      </c>
    </row>
    <row r="93" spans="1:6" x14ac:dyDescent="0.25">
      <c r="C93" s="11"/>
      <c r="F93" t="s">
        <v>1845</v>
      </c>
    </row>
    <row r="94" spans="1:6" x14ac:dyDescent="0.25">
      <c r="F94" t="s">
        <v>1835</v>
      </c>
    </row>
    <row r="95" spans="1:6" x14ac:dyDescent="0.25">
      <c r="A95" t="s">
        <v>1083</v>
      </c>
      <c r="F95" t="s">
        <v>1840</v>
      </c>
    </row>
    <row r="96" spans="1:6" x14ac:dyDescent="0.25">
      <c r="A96" t="s">
        <v>1084</v>
      </c>
      <c r="F96" t="s">
        <v>1836</v>
      </c>
    </row>
    <row r="97" spans="1:6" x14ac:dyDescent="0.25">
      <c r="A97" t="s">
        <v>1085</v>
      </c>
      <c r="F97" t="s">
        <v>1838</v>
      </c>
    </row>
    <row r="98" spans="1:6" x14ac:dyDescent="0.25">
      <c r="A98" t="s">
        <v>1086</v>
      </c>
      <c r="F98" t="s">
        <v>1846</v>
      </c>
    </row>
    <row r="99" spans="1:6" x14ac:dyDescent="0.25">
      <c r="A99" t="s">
        <v>2094</v>
      </c>
      <c r="F99" t="s">
        <v>1847</v>
      </c>
    </row>
    <row r="100" spans="1:6" x14ac:dyDescent="0.25">
      <c r="A100" t="s">
        <v>2095</v>
      </c>
      <c r="F100" t="s">
        <v>1841</v>
      </c>
    </row>
    <row r="101" spans="1:6" x14ac:dyDescent="0.25">
      <c r="A101" t="s">
        <v>2096</v>
      </c>
      <c r="F101" t="s">
        <v>1847</v>
      </c>
    </row>
    <row r="102" spans="1:6" x14ac:dyDescent="0.25">
      <c r="A102" t="s">
        <v>2097</v>
      </c>
      <c r="F102" t="s">
        <v>2107</v>
      </c>
    </row>
    <row r="103" spans="1:6" x14ac:dyDescent="0.25">
      <c r="A103" t="s">
        <v>2098</v>
      </c>
      <c r="F103" t="s">
        <v>114</v>
      </c>
    </row>
    <row r="104" spans="1:6" x14ac:dyDescent="0.25">
      <c r="A104" t="s">
        <v>2057</v>
      </c>
    </row>
    <row r="105" spans="1:6" x14ac:dyDescent="0.25">
      <c r="A105" t="s">
        <v>2078</v>
      </c>
    </row>
    <row r="106" spans="1:6" x14ac:dyDescent="0.25">
      <c r="A106" t="s">
        <v>2111</v>
      </c>
    </row>
    <row r="114" spans="1:1" x14ac:dyDescent="0.25">
      <c r="A114" t="s">
        <v>1098</v>
      </c>
    </row>
    <row r="115" spans="1:1" x14ac:dyDescent="0.25">
      <c r="A115" t="s">
        <v>461</v>
      </c>
    </row>
    <row r="116" spans="1:1" x14ac:dyDescent="0.25">
      <c r="A116" t="s">
        <v>1097</v>
      </c>
    </row>
    <row r="117" spans="1:1" x14ac:dyDescent="0.25">
      <c r="A117" t="s">
        <v>1100</v>
      </c>
    </row>
  </sheetData>
  <sheetProtection algorithmName="SHA-512" hashValue="L+SMFJNNWTw2kwRKqoLSD7E+N2Cc3HAYQzMRjzHXrNEar12lhjX/OqomUXnsBeioMEPSaEg2JMapYswkgOvLMA==" saltValue="biT7NoOGRw0l/cTWQWePHQ==" spinCount="100000" sheet="1" objects="1" scenarios="1"/>
  <hyperlinks>
    <hyperlink ref="C88" r:id="rId1" display="JVTravis@trccompanies.com" xr:uid="{00000000-0004-0000-0500-000000000000}"/>
    <hyperlink ref="C87" r:id="rId2" display="LBoschert@trccompanies.com" xr:uid="{00000000-0004-0000-0500-000001000000}"/>
    <hyperlink ref="C89" r:id="rId3" display="RGabrielson@trccompanies.com" xr:uid="{00000000-0004-0000-0500-000004000000}"/>
    <hyperlink ref="C85" r:id="rId4" display="JParker@trccompanies.com" xr:uid="{3DED5C2A-D7B4-431C-A089-5BDF265C8361}"/>
    <hyperlink ref="C86" r:id="rId5" display="RYakel@trccompanies.com" xr:uid="{00000000-0004-0000-0500-000002000000}"/>
    <hyperlink ref="C90" r:id="rId6" display="JBushman@trccompanies.com" xr:uid="{A10290CE-D61D-49AB-8042-ADE70E2E2276}"/>
  </hyperlinks>
  <pageMargins left="0.7" right="0.7" top="0.75" bottom="0.75" header="0.3" footer="0.3"/>
  <pageSetup orientation="portrait" r:id="rId7"/>
  <tableParts count="23">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D0605-6EF8-4CAE-B754-37400C150B93}">
  <sheetPr codeName="Sheet9">
    <pageSetUpPr fitToPage="1"/>
  </sheetPr>
  <dimension ref="A1:BO202"/>
  <sheetViews>
    <sheetView showGridLines="0" showRowColHeaders="0" zoomScaleNormal="100" workbookViewId="0">
      <selection activeCell="C6" sqref="C6"/>
    </sheetView>
  </sheetViews>
  <sheetFormatPr defaultColWidth="0" defaultRowHeight="15" zeroHeight="1" x14ac:dyDescent="0.25"/>
  <cols>
    <col min="1" max="45" width="4.7109375" customWidth="1"/>
    <col min="46" max="67" width="9.140625" customWidth="1"/>
    <col min="68" max="16384" width="9.140625" hidden="1"/>
  </cols>
  <sheetData>
    <row r="1" spans="2:44" ht="15.95" customHeight="1" x14ac:dyDescent="0.25">
      <c r="Q1" s="536" t="e">
        <f>IF(OR(#REF!&lt;&gt;0,#REF!&lt;&gt;0,#REF!&lt;&gt;0,#REF!&lt;&gt;0,#REF!&lt;&gt;0,#REF!&lt;&gt; 0),"P","")</f>
        <v>#REF!</v>
      </c>
      <c r="R1" s="536"/>
      <c r="U1" s="537" t="e">
        <f>IF(OR(#REF!&lt;&gt;0,#REF!&lt;&gt;0,#REF!&lt;&gt;0,#REF!&lt;&gt;0,#REF!&lt;&gt;0,#REF!&gt;0,#REF!&gt;0),"P","")</f>
        <v>#REF!</v>
      </c>
      <c r="V1" s="537"/>
      <c r="Y1" s="537" t="e">
        <f>IF(OR(#REF!&lt;&gt;0,#REF!&lt;&gt;0,#REF!&lt;&gt;0,#REF!&lt;&gt;0,#REF!&lt;&gt;0,#REF!&lt;&gt;0,#REF!&lt;&gt;0),"P","")</f>
        <v>#REF!</v>
      </c>
      <c r="Z1" s="537"/>
    </row>
    <row r="2" spans="2:44" ht="15.95" customHeight="1" x14ac:dyDescent="0.25"/>
    <row r="3" spans="2:44" ht="15.95" customHeight="1" x14ac:dyDescent="0.25"/>
    <row r="4" spans="2:44" ht="15.95" customHeight="1" x14ac:dyDescent="0.25"/>
    <row r="5" spans="2:44" ht="15.95" customHeight="1" x14ac:dyDescent="0.25"/>
    <row r="6" spans="2:44" ht="15.95" customHeight="1" x14ac:dyDescent="0.25">
      <c r="C6" s="32"/>
    </row>
    <row r="7" spans="2:44" ht="15.95" customHeight="1" x14ac:dyDescent="0.25"/>
    <row r="8" spans="2:44" ht="15.95" customHeight="1" x14ac:dyDescent="0.25"/>
    <row r="9" spans="2:44" ht="15.95" customHeight="1" x14ac:dyDescent="0.25">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x14ac:dyDescent="0.3">
      <c r="B10" s="59"/>
      <c r="C10" s="59"/>
      <c r="D10" s="59"/>
      <c r="E10" s="59"/>
      <c r="G10" s="282"/>
      <c r="I10" s="282"/>
      <c r="J10" s="282"/>
      <c r="K10" s="282"/>
      <c r="L10" s="282"/>
      <c r="M10" s="538" t="s">
        <v>64</v>
      </c>
      <c r="N10" s="538"/>
      <c r="O10" s="538"/>
      <c r="P10" s="538"/>
      <c r="Q10" s="538"/>
      <c r="R10" s="538"/>
      <c r="S10" s="538"/>
      <c r="T10" s="538"/>
      <c r="U10" s="538"/>
      <c r="V10" s="538"/>
      <c r="W10" s="538"/>
      <c r="X10" s="538"/>
      <c r="Y10" s="538"/>
      <c r="Z10" s="538"/>
      <c r="AA10" s="538"/>
      <c r="AB10" s="538"/>
      <c r="AC10" s="538"/>
      <c r="AD10" s="538"/>
      <c r="AE10" s="538"/>
      <c r="AF10" s="538"/>
      <c r="AG10" s="538"/>
      <c r="AH10" s="282"/>
      <c r="AI10" s="282"/>
      <c r="AJ10" s="282"/>
      <c r="AK10" s="282"/>
      <c r="AL10" s="282"/>
      <c r="AM10" s="282"/>
      <c r="AN10" s="282"/>
      <c r="AO10" s="59"/>
      <c r="AP10" s="59"/>
      <c r="AQ10" s="59"/>
      <c r="AR10" s="59"/>
    </row>
    <row r="11" spans="2:44" ht="15.95" customHeight="1" x14ac:dyDescent="0.25">
      <c r="B11" s="59"/>
      <c r="C11" s="59"/>
      <c r="D11" s="59"/>
      <c r="E11" s="59"/>
      <c r="I11" s="230"/>
      <c r="J11" s="230"/>
      <c r="K11" s="230"/>
      <c r="L11" s="230"/>
      <c r="M11" s="539" t="s">
        <v>1312</v>
      </c>
      <c r="N11" s="539"/>
      <c r="O11" s="539"/>
      <c r="P11" s="539"/>
      <c r="Q11" s="539"/>
      <c r="R11" s="539"/>
      <c r="S11" s="539"/>
      <c r="T11" s="539"/>
      <c r="U11" s="539"/>
      <c r="V11" s="539"/>
      <c r="W11" s="539"/>
      <c r="X11" s="539"/>
      <c r="Y11" s="539"/>
      <c r="Z11" s="539"/>
      <c r="AA11" s="539"/>
      <c r="AB11" s="539"/>
      <c r="AC11" s="539"/>
      <c r="AD11" s="539"/>
      <c r="AE11" s="539"/>
      <c r="AF11" s="539"/>
      <c r="AG11" s="539"/>
      <c r="AH11" s="230"/>
      <c r="AI11" s="230"/>
      <c r="AJ11" s="230"/>
      <c r="AK11" s="230"/>
      <c r="AL11" s="230"/>
      <c r="AM11" s="230"/>
      <c r="AN11" s="230"/>
      <c r="AO11" s="231"/>
      <c r="AP11" s="231"/>
      <c r="AQ11" s="59"/>
      <c r="AR11" s="59"/>
    </row>
    <row r="12" spans="2:44" ht="15.95" customHeight="1" x14ac:dyDescent="0.25">
      <c r="B12" s="59"/>
      <c r="C12" s="59"/>
      <c r="D12" s="59"/>
      <c r="E12" s="59"/>
      <c r="F12" s="230"/>
      <c r="G12" s="230"/>
      <c r="H12" s="230"/>
      <c r="I12" s="230"/>
      <c r="J12" s="230"/>
      <c r="K12" s="230"/>
      <c r="L12" s="230"/>
      <c r="M12" s="539"/>
      <c r="N12" s="539"/>
      <c r="O12" s="539"/>
      <c r="P12" s="539"/>
      <c r="Q12" s="539"/>
      <c r="R12" s="539"/>
      <c r="S12" s="539"/>
      <c r="T12" s="539"/>
      <c r="U12" s="539"/>
      <c r="V12" s="539"/>
      <c r="W12" s="539"/>
      <c r="X12" s="539"/>
      <c r="Y12" s="539"/>
      <c r="Z12" s="539"/>
      <c r="AA12" s="539"/>
      <c r="AB12" s="539"/>
      <c r="AC12" s="539"/>
      <c r="AD12" s="539"/>
      <c r="AE12" s="539"/>
      <c r="AF12" s="539"/>
      <c r="AG12" s="539"/>
      <c r="AH12" s="230"/>
      <c r="AI12" s="230"/>
      <c r="AJ12" s="230"/>
      <c r="AK12" s="230"/>
      <c r="AL12" s="230"/>
      <c r="AM12" s="230"/>
      <c r="AN12" s="230"/>
      <c r="AO12" s="231"/>
      <c r="AP12" s="231"/>
      <c r="AQ12" s="59"/>
      <c r="AR12" s="59"/>
    </row>
    <row r="13" spans="2:44" ht="15.95" customHeight="1" x14ac:dyDescent="0.25">
      <c r="B13" s="59"/>
      <c r="C13" s="59"/>
      <c r="D13" s="59"/>
      <c r="E13" s="59"/>
      <c r="F13" s="230"/>
      <c r="G13" s="230"/>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30"/>
      <c r="AN13" s="230"/>
      <c r="AO13" s="231"/>
      <c r="AP13" s="231"/>
      <c r="AQ13" s="59"/>
      <c r="AR13" s="59"/>
    </row>
    <row r="14" spans="2:44" ht="15.95" customHeight="1" x14ac:dyDescent="0.25">
      <c r="B14" s="59"/>
      <c r="C14" s="232"/>
      <c r="D14" s="59"/>
      <c r="E14" s="59"/>
      <c r="F14" s="59"/>
      <c r="G14" s="59"/>
      <c r="H14" s="59"/>
      <c r="I14" s="108"/>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10"/>
      <c r="AL14" s="59"/>
      <c r="AM14" s="59"/>
      <c r="AN14" s="59"/>
      <c r="AO14" s="59"/>
      <c r="AP14" s="59"/>
      <c r="AQ14" s="59"/>
      <c r="AR14" s="59"/>
    </row>
    <row r="15" spans="2:44" ht="15.95" customHeight="1" x14ac:dyDescent="0.25">
      <c r="B15" s="59"/>
      <c r="C15" s="59"/>
      <c r="D15" s="59"/>
      <c r="E15" s="59"/>
      <c r="F15" s="59"/>
      <c r="G15" s="59"/>
      <c r="H15" s="59"/>
      <c r="I15" s="148"/>
      <c r="J15" s="534" t="s">
        <v>1303</v>
      </c>
      <c r="K15" s="535"/>
      <c r="L15" s="535"/>
      <c r="M15" s="535"/>
      <c r="N15" s="535"/>
      <c r="O15" s="535"/>
      <c r="P15" s="535"/>
      <c r="Q15" s="535"/>
      <c r="R15" s="535"/>
      <c r="S15" s="535"/>
      <c r="T15" s="535"/>
      <c r="U15" s="535"/>
      <c r="V15" s="535"/>
      <c r="W15" s="535"/>
      <c r="X15" s="535"/>
      <c r="Y15" s="535"/>
      <c r="Z15" s="535"/>
      <c r="AA15" s="535"/>
      <c r="AB15" s="535"/>
      <c r="AC15" s="60"/>
      <c r="AD15" s="60"/>
      <c r="AE15" s="233"/>
      <c r="AF15" s="233"/>
      <c r="AG15" s="233"/>
      <c r="AH15" s="233"/>
      <c r="AI15" s="233"/>
      <c r="AJ15" s="233"/>
      <c r="AK15" s="149"/>
      <c r="AL15" s="59"/>
      <c r="AM15" s="59"/>
      <c r="AN15" s="59"/>
      <c r="AO15" s="59"/>
      <c r="AP15" s="59"/>
      <c r="AQ15" s="59"/>
      <c r="AR15" s="59"/>
    </row>
    <row r="16" spans="2:44" ht="15.95" customHeight="1" x14ac:dyDescent="0.25">
      <c r="B16" s="59"/>
      <c r="C16" s="234"/>
      <c r="D16" s="234"/>
      <c r="E16" s="234"/>
      <c r="F16" s="234"/>
      <c r="G16" s="234"/>
      <c r="H16" s="234"/>
      <c r="I16" s="148"/>
      <c r="J16" s="535"/>
      <c r="K16" s="535"/>
      <c r="L16" s="535"/>
      <c r="M16" s="535"/>
      <c r="N16" s="535"/>
      <c r="O16" s="535"/>
      <c r="P16" s="535"/>
      <c r="Q16" s="535"/>
      <c r="R16" s="535"/>
      <c r="S16" s="535"/>
      <c r="T16" s="535"/>
      <c r="U16" s="535"/>
      <c r="V16" s="535"/>
      <c r="W16" s="535"/>
      <c r="X16" s="535"/>
      <c r="Y16" s="535"/>
      <c r="Z16" s="535"/>
      <c r="AA16" s="535"/>
      <c r="AB16" s="535"/>
      <c r="AC16" s="235"/>
      <c r="AD16" s="60"/>
      <c r="AE16" s="233"/>
      <c r="AF16" s="233"/>
      <c r="AG16" s="233"/>
      <c r="AH16" s="233"/>
      <c r="AI16" s="233"/>
      <c r="AJ16" s="233"/>
      <c r="AK16" s="149"/>
      <c r="AL16" s="59"/>
      <c r="AM16" s="59"/>
      <c r="AN16" s="59"/>
      <c r="AO16" s="59"/>
      <c r="AP16" s="59"/>
      <c r="AQ16" s="59"/>
      <c r="AR16" s="59"/>
    </row>
    <row r="17" spans="2:44" ht="15.95" customHeight="1" x14ac:dyDescent="0.25">
      <c r="B17" s="59"/>
      <c r="C17" s="232"/>
      <c r="D17" s="232"/>
      <c r="E17" s="232"/>
      <c r="F17" s="232"/>
      <c r="G17" s="232"/>
      <c r="H17" s="232"/>
      <c r="I17" s="148"/>
      <c r="J17" s="535"/>
      <c r="K17" s="535"/>
      <c r="L17" s="535"/>
      <c r="M17" s="535"/>
      <c r="N17" s="535"/>
      <c r="O17" s="535"/>
      <c r="P17" s="535"/>
      <c r="Q17" s="535"/>
      <c r="R17" s="535"/>
      <c r="S17" s="535"/>
      <c r="T17" s="535"/>
      <c r="U17" s="535"/>
      <c r="V17" s="535"/>
      <c r="W17" s="535"/>
      <c r="X17" s="535"/>
      <c r="Y17" s="535"/>
      <c r="Z17" s="535"/>
      <c r="AA17" s="535"/>
      <c r="AB17" s="535"/>
      <c r="AC17" s="235"/>
      <c r="AD17" s="60"/>
      <c r="AE17" s="233"/>
      <c r="AF17" s="233"/>
      <c r="AG17" s="233"/>
      <c r="AH17" s="233"/>
      <c r="AI17" s="233"/>
      <c r="AJ17" s="233"/>
      <c r="AK17" s="149"/>
      <c r="AL17" s="59"/>
      <c r="AM17" s="59"/>
      <c r="AN17" s="59"/>
      <c r="AO17" s="59"/>
      <c r="AP17" s="59"/>
      <c r="AQ17" s="59"/>
      <c r="AR17" s="59"/>
    </row>
    <row r="18" spans="2:44" ht="15.95" customHeight="1" x14ac:dyDescent="0.25">
      <c r="B18" s="59"/>
      <c r="C18" s="59"/>
      <c r="D18" s="59"/>
      <c r="E18" s="59"/>
      <c r="F18" s="59"/>
      <c r="G18" s="59"/>
      <c r="H18" s="59"/>
      <c r="I18" s="148"/>
      <c r="J18" s="535"/>
      <c r="K18" s="535"/>
      <c r="L18" s="535"/>
      <c r="M18" s="535"/>
      <c r="N18" s="535"/>
      <c r="O18" s="535"/>
      <c r="P18" s="535"/>
      <c r="Q18" s="535"/>
      <c r="R18" s="535"/>
      <c r="S18" s="535"/>
      <c r="T18" s="535"/>
      <c r="U18" s="535"/>
      <c r="V18" s="535"/>
      <c r="W18" s="535"/>
      <c r="X18" s="535"/>
      <c r="Y18" s="535"/>
      <c r="Z18" s="535"/>
      <c r="AA18" s="535"/>
      <c r="AB18" s="535"/>
      <c r="AC18" s="60"/>
      <c r="AD18" s="60"/>
      <c r="AE18" s="233"/>
      <c r="AF18" s="233"/>
      <c r="AG18" s="233"/>
      <c r="AH18" s="233"/>
      <c r="AI18" s="233"/>
      <c r="AJ18" s="233"/>
      <c r="AK18" s="149"/>
      <c r="AL18" s="59"/>
      <c r="AM18" s="59"/>
      <c r="AN18" s="59"/>
      <c r="AO18" s="59"/>
      <c r="AP18" s="59"/>
      <c r="AQ18" s="59"/>
      <c r="AR18" s="59"/>
    </row>
    <row r="19" spans="2:44" ht="15.95" customHeight="1" x14ac:dyDescent="0.25">
      <c r="B19" s="59"/>
      <c r="C19" s="232"/>
      <c r="D19" s="232"/>
      <c r="E19" s="232"/>
      <c r="F19" s="232"/>
      <c r="G19" s="232"/>
      <c r="H19" s="232"/>
      <c r="I19" s="148"/>
      <c r="J19" s="531" t="str">
        <f>IF(M02S02F47="","",M02S02F47)</f>
        <v/>
      </c>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149"/>
      <c r="AL19" s="59"/>
      <c r="AM19" s="59"/>
      <c r="AN19" s="59"/>
      <c r="AO19" s="59"/>
      <c r="AP19" s="59"/>
      <c r="AQ19" s="59"/>
      <c r="AR19" s="59"/>
    </row>
    <row r="20" spans="2:44" ht="15.95" customHeight="1" x14ac:dyDescent="0.25">
      <c r="B20" s="59"/>
      <c r="C20" s="59"/>
      <c r="D20" s="59"/>
      <c r="E20" s="59"/>
      <c r="F20" s="59"/>
      <c r="G20" s="59"/>
      <c r="H20" s="59"/>
      <c r="I20" s="148"/>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149"/>
      <c r="AL20" s="59"/>
      <c r="AM20" s="59"/>
      <c r="AN20" s="59"/>
      <c r="AO20" s="59"/>
      <c r="AP20" s="59"/>
      <c r="AQ20" s="59"/>
      <c r="AR20" s="59"/>
    </row>
    <row r="21" spans="2:44" ht="15.95" customHeight="1" x14ac:dyDescent="0.25">
      <c r="B21" s="59"/>
      <c r="C21" s="232"/>
      <c r="D21" s="232"/>
      <c r="E21" s="232"/>
      <c r="F21" s="232"/>
      <c r="G21" s="232"/>
      <c r="H21" s="232"/>
      <c r="I21" s="148"/>
      <c r="J21" s="532" t="e">
        <f>IF(M02S02F13="","",M02S02F13)</f>
        <v>#REF!</v>
      </c>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149"/>
      <c r="AL21" s="59"/>
      <c r="AM21" s="59"/>
      <c r="AN21" s="59"/>
      <c r="AO21" s="59"/>
      <c r="AP21" s="59"/>
      <c r="AQ21" s="59"/>
      <c r="AR21" s="59"/>
    </row>
    <row r="22" spans="2:44" ht="15.95" customHeight="1" x14ac:dyDescent="0.25">
      <c r="B22" s="59"/>
      <c r="C22" s="59"/>
      <c r="D22" s="59"/>
      <c r="E22" s="59"/>
      <c r="F22" s="59"/>
      <c r="G22" s="59"/>
      <c r="H22" s="59"/>
      <c r="I22" s="148"/>
      <c r="J22" s="236" t="s">
        <v>1592</v>
      </c>
      <c r="K22" s="59"/>
      <c r="L22" s="59"/>
      <c r="O22" s="520" t="str">
        <f>M02S02F02&amp;" "&amp;M02S02F03</f>
        <v xml:space="preserve"> </v>
      </c>
      <c r="P22" s="520"/>
      <c r="Q22" s="520"/>
      <c r="R22" s="520"/>
      <c r="S22" s="520"/>
      <c r="T22" s="520"/>
      <c r="U22" s="234"/>
      <c r="V22" s="234"/>
      <c r="W22" s="59"/>
      <c r="X22" s="236" t="s">
        <v>1297</v>
      </c>
      <c r="Y22" s="59"/>
      <c r="Z22" s="59"/>
      <c r="AC22" s="520" t="str">
        <f>IF(M02S03F02="","",M02S03F02)</f>
        <v/>
      </c>
      <c r="AD22" s="520"/>
      <c r="AE22" s="520"/>
      <c r="AF22" s="520"/>
      <c r="AG22" s="520"/>
      <c r="AH22" s="520"/>
      <c r="AI22" s="234"/>
      <c r="AJ22" s="234"/>
      <c r="AK22" s="149"/>
      <c r="AL22" s="59"/>
      <c r="AM22" s="59"/>
      <c r="AN22" s="59"/>
      <c r="AO22" s="59"/>
      <c r="AP22" s="59"/>
      <c r="AQ22" s="59"/>
      <c r="AR22" s="59"/>
    </row>
    <row r="23" spans="2:44" ht="15.95" customHeight="1" x14ac:dyDescent="0.25">
      <c r="B23" s="59"/>
      <c r="C23" s="232"/>
      <c r="D23" s="232"/>
      <c r="E23" s="232"/>
      <c r="F23" s="232"/>
      <c r="G23" s="232"/>
      <c r="H23" s="232"/>
      <c r="I23" s="148"/>
      <c r="J23" s="236" t="s">
        <v>1294</v>
      </c>
      <c r="K23" s="232"/>
      <c r="L23" s="232"/>
      <c r="O23" s="520">
        <f>M02S02F22</f>
        <v>0</v>
      </c>
      <c r="P23" s="520"/>
      <c r="Q23" s="520"/>
      <c r="R23" s="520"/>
      <c r="S23" s="520"/>
      <c r="T23" s="520"/>
      <c r="U23" s="237"/>
      <c r="V23" s="237"/>
      <c r="W23" s="59"/>
      <c r="X23" s="236" t="s">
        <v>1298</v>
      </c>
      <c r="AC23" s="533" t="str">
        <f>IF(M02S03F03=""," ",M02S03F03&amp;" "&amp;M02S03F04)</f>
        <v xml:space="preserve"> </v>
      </c>
      <c r="AD23" s="533"/>
      <c r="AE23" s="533"/>
      <c r="AF23" s="533"/>
      <c r="AG23" s="533"/>
      <c r="AH23" s="533"/>
      <c r="AK23" s="149"/>
      <c r="AL23" s="59"/>
      <c r="AM23" s="59"/>
      <c r="AN23" s="59"/>
      <c r="AO23" s="59"/>
      <c r="AP23" s="59"/>
      <c r="AQ23" s="59"/>
      <c r="AR23" s="59"/>
    </row>
    <row r="24" spans="2:44" ht="15.95" customHeight="1" x14ac:dyDescent="0.25">
      <c r="B24" s="59"/>
      <c r="C24" s="59"/>
      <c r="D24" s="59"/>
      <c r="E24" s="59"/>
      <c r="F24" s="59"/>
      <c r="G24" s="59"/>
      <c r="H24" s="59"/>
      <c r="I24" s="148"/>
      <c r="J24" s="236"/>
      <c r="K24" s="59"/>
      <c r="L24" s="59"/>
      <c r="O24" s="520">
        <f>M02S02F23</f>
        <v>0</v>
      </c>
      <c r="P24" s="520"/>
      <c r="Q24" s="520"/>
      <c r="R24" s="520"/>
      <c r="S24" s="530" t="s">
        <v>331</v>
      </c>
      <c r="T24" s="530"/>
      <c r="U24" s="519">
        <f>M02S02F25</f>
        <v>0</v>
      </c>
      <c r="V24" s="519"/>
      <c r="W24" s="59"/>
      <c r="X24" s="236" t="s">
        <v>1293</v>
      </c>
      <c r="Y24" s="232"/>
      <c r="Z24" s="232"/>
      <c r="AC24" s="520" t="e">
        <f>IF(M02S03F09="","",M02S03F09)</f>
        <v>#REF!</v>
      </c>
      <c r="AD24" s="520"/>
      <c r="AE24" s="520"/>
      <c r="AF24" s="520"/>
      <c r="AG24" s="520"/>
      <c r="AH24" s="520"/>
      <c r="AI24" s="237"/>
      <c r="AJ24" s="237"/>
      <c r="AK24" s="149"/>
      <c r="AL24" s="59"/>
      <c r="AM24" s="59"/>
      <c r="AN24" s="59"/>
      <c r="AO24" s="59"/>
      <c r="AP24" s="59"/>
      <c r="AQ24" s="59"/>
      <c r="AR24" s="59"/>
    </row>
    <row r="25" spans="2:44" ht="15.95" customHeight="1" x14ac:dyDescent="0.25">
      <c r="B25" s="59"/>
      <c r="C25" s="232"/>
      <c r="D25" s="232"/>
      <c r="E25" s="232"/>
      <c r="F25" s="232"/>
      <c r="G25" s="232"/>
      <c r="H25" s="232"/>
      <c r="I25" s="148"/>
      <c r="J25" s="236" t="s">
        <v>1295</v>
      </c>
      <c r="K25" s="232"/>
      <c r="L25" s="232"/>
      <c r="O25" s="521">
        <f>M02S02F05</f>
        <v>0</v>
      </c>
      <c r="P25" s="521"/>
      <c r="Q25" s="521"/>
      <c r="R25" s="521"/>
      <c r="S25" s="521"/>
      <c r="T25" s="521"/>
      <c r="U25" s="234"/>
      <c r="V25" s="234"/>
      <c r="W25" s="59"/>
      <c r="X25" s="236"/>
      <c r="Y25" s="59"/>
      <c r="Z25" s="59"/>
      <c r="AC25" s="520" t="e">
        <f>IF(M02S03F10="","",M02S03F10)</f>
        <v>#REF!</v>
      </c>
      <c r="AD25" s="520"/>
      <c r="AE25" s="520"/>
      <c r="AF25" s="520"/>
      <c r="AG25" s="530" t="e">
        <f>IF(M02S03F11="","",M02S03F11)</f>
        <v>#REF!</v>
      </c>
      <c r="AH25" s="530"/>
      <c r="AI25" s="519" t="e">
        <f>IF(M02S03F12="","",M02S03F12)</f>
        <v>#REF!</v>
      </c>
      <c r="AJ25" s="519"/>
      <c r="AK25" s="149"/>
      <c r="AL25" s="59"/>
      <c r="AM25" s="59"/>
      <c r="AN25" s="59"/>
      <c r="AO25" s="59"/>
      <c r="AP25" s="59"/>
      <c r="AQ25" s="59"/>
      <c r="AR25" s="59"/>
    </row>
    <row r="26" spans="2:44" ht="15.95" customHeight="1" x14ac:dyDescent="0.25">
      <c r="B26" s="59"/>
      <c r="C26" s="59"/>
      <c r="D26" s="59"/>
      <c r="E26" s="59"/>
      <c r="F26" s="59"/>
      <c r="G26" s="59"/>
      <c r="H26" s="59"/>
      <c r="I26" s="148"/>
      <c r="J26" s="236" t="s">
        <v>1296</v>
      </c>
      <c r="K26" s="59"/>
      <c r="L26" s="59"/>
      <c r="O26" s="520">
        <f>M02S02F07</f>
        <v>0</v>
      </c>
      <c r="P26" s="520"/>
      <c r="Q26" s="520"/>
      <c r="R26" s="520"/>
      <c r="S26" s="520"/>
      <c r="T26" s="520"/>
      <c r="U26" s="238"/>
      <c r="V26" s="238"/>
      <c r="W26" s="59"/>
      <c r="X26" s="236" t="s">
        <v>1295</v>
      </c>
      <c r="Y26" s="232"/>
      <c r="Z26" s="232"/>
      <c r="AC26" s="521" t="str">
        <f>IF(M02S03F06="","",M02S03F06)</f>
        <v/>
      </c>
      <c r="AD26" s="521"/>
      <c r="AE26" s="521"/>
      <c r="AF26" s="521"/>
      <c r="AG26" s="521"/>
      <c r="AH26" s="521"/>
      <c r="AI26" s="234"/>
      <c r="AJ26" s="234"/>
      <c r="AK26" s="149"/>
      <c r="AL26" s="59"/>
      <c r="AM26" s="59"/>
      <c r="AN26" s="59"/>
      <c r="AO26" s="59"/>
      <c r="AP26" s="59"/>
      <c r="AQ26" s="59"/>
      <c r="AR26" s="59"/>
    </row>
    <row r="27" spans="2:44" ht="15.95" customHeight="1" x14ac:dyDescent="0.25">
      <c r="B27" s="59"/>
      <c r="C27" s="232"/>
      <c r="D27" s="232"/>
      <c r="E27" s="232"/>
      <c r="F27" s="232"/>
      <c r="G27" s="232"/>
      <c r="H27" s="232"/>
      <c r="I27" s="148"/>
      <c r="J27" s="232"/>
      <c r="K27" s="232"/>
      <c r="L27" s="232"/>
      <c r="M27" s="232"/>
      <c r="N27" s="232"/>
      <c r="O27" s="232"/>
      <c r="P27" s="59"/>
      <c r="W27" s="59"/>
      <c r="X27" s="236" t="s">
        <v>1296</v>
      </c>
      <c r="Y27" s="59"/>
      <c r="Z27" s="59"/>
      <c r="AC27" s="520" t="str">
        <f>IF(M02S03F08="","",M02S03F08)</f>
        <v/>
      </c>
      <c r="AD27" s="520"/>
      <c r="AE27" s="520"/>
      <c r="AF27" s="520"/>
      <c r="AG27" s="520"/>
      <c r="AH27" s="520"/>
      <c r="AI27" s="238"/>
      <c r="AJ27" s="238"/>
      <c r="AK27" s="149"/>
      <c r="AL27" s="59"/>
      <c r="AM27" s="59"/>
      <c r="AN27" s="59"/>
      <c r="AO27" s="59"/>
      <c r="AP27" s="59"/>
      <c r="AQ27" s="59"/>
      <c r="AR27" s="59"/>
    </row>
    <row r="28" spans="2:44" ht="15.95" customHeight="1" x14ac:dyDescent="0.25">
      <c r="B28" s="59"/>
      <c r="C28" s="59"/>
      <c r="D28" s="59"/>
      <c r="E28" s="59"/>
      <c r="F28" s="59"/>
      <c r="G28" s="59"/>
      <c r="H28" s="59"/>
      <c r="I28" s="148"/>
      <c r="AK28" s="149"/>
      <c r="AL28" s="59"/>
      <c r="AM28" s="59"/>
      <c r="AN28" s="59"/>
      <c r="AO28" s="59"/>
      <c r="AP28" s="59"/>
      <c r="AQ28" s="59"/>
      <c r="AR28" s="59"/>
    </row>
    <row r="29" spans="2:44" ht="15.95" customHeight="1" x14ac:dyDescent="0.25">
      <c r="B29" s="59"/>
      <c r="C29" s="232"/>
      <c r="D29" s="232"/>
      <c r="E29" s="232"/>
      <c r="F29" s="232"/>
      <c r="G29" s="232"/>
      <c r="H29" s="232"/>
      <c r="I29" s="148"/>
      <c r="AK29" s="149"/>
      <c r="AL29" s="59"/>
      <c r="AM29" s="59"/>
      <c r="AN29" s="59"/>
      <c r="AO29" s="59"/>
      <c r="AP29" s="59"/>
      <c r="AQ29" s="59"/>
      <c r="AR29" s="59"/>
    </row>
    <row r="30" spans="2:44" ht="15.95" customHeight="1" thickBot="1" x14ac:dyDescent="0.3">
      <c r="B30" s="59"/>
      <c r="C30" s="239"/>
      <c r="D30" s="239"/>
      <c r="E30" s="239"/>
      <c r="F30" s="239"/>
      <c r="G30" s="239"/>
      <c r="H30" s="239"/>
      <c r="I30" s="148"/>
      <c r="J30" s="240"/>
      <c r="K30" s="522" t="s">
        <v>1299</v>
      </c>
      <c r="L30" s="523"/>
      <c r="M30" s="523"/>
      <c r="N30" s="523"/>
      <c r="O30" s="523"/>
      <c r="P30" s="523"/>
      <c r="Q30" s="523"/>
      <c r="R30" s="523"/>
      <c r="S30" s="523"/>
      <c r="T30" s="523"/>
      <c r="U30" s="523"/>
      <c r="V30" s="523"/>
      <c r="W30" s="523"/>
      <c r="X30" s="523"/>
      <c r="Y30" s="523"/>
      <c r="Z30" s="523"/>
      <c r="AA30" s="523"/>
      <c r="AB30" s="523"/>
      <c r="AC30" s="523"/>
      <c r="AD30" s="526">
        <f>IFERROR(KWHTOTALALL*M02S02F35,0)*5</f>
        <v>0</v>
      </c>
      <c r="AE30" s="527"/>
      <c r="AF30" s="527"/>
      <c r="AG30" s="527"/>
      <c r="AH30" s="527"/>
      <c r="AI30" s="527"/>
      <c r="AJ30" s="527"/>
      <c r="AK30" s="149"/>
      <c r="AL30" s="59"/>
      <c r="AM30" s="59"/>
      <c r="AN30" s="59"/>
      <c r="AO30" s="59"/>
      <c r="AP30" s="59"/>
      <c r="AQ30" s="59"/>
      <c r="AR30" s="59"/>
    </row>
    <row r="31" spans="2:44" ht="15.95" customHeight="1" thickBot="1" x14ac:dyDescent="0.3">
      <c r="B31" s="59"/>
      <c r="C31" s="232"/>
      <c r="D31" s="232"/>
      <c r="E31" s="232"/>
      <c r="F31" s="232"/>
      <c r="G31" s="232"/>
      <c r="H31" s="232"/>
      <c r="I31" s="148"/>
      <c r="J31" s="241"/>
      <c r="K31" s="524"/>
      <c r="L31" s="525"/>
      <c r="M31" s="525"/>
      <c r="N31" s="525"/>
      <c r="O31" s="525"/>
      <c r="P31" s="525"/>
      <c r="Q31" s="525"/>
      <c r="R31" s="525"/>
      <c r="S31" s="525"/>
      <c r="T31" s="525"/>
      <c r="U31" s="525"/>
      <c r="V31" s="525"/>
      <c r="W31" s="525"/>
      <c r="X31" s="525"/>
      <c r="Y31" s="525"/>
      <c r="Z31" s="525"/>
      <c r="AA31" s="525"/>
      <c r="AB31" s="525"/>
      <c r="AC31" s="525"/>
      <c r="AD31" s="518"/>
      <c r="AE31" s="518"/>
      <c r="AF31" s="518"/>
      <c r="AG31" s="518"/>
      <c r="AH31" s="518"/>
      <c r="AI31" s="518"/>
      <c r="AJ31" s="518"/>
      <c r="AK31" s="149"/>
      <c r="AL31" s="59"/>
      <c r="AM31" s="59"/>
      <c r="AN31" s="59"/>
      <c r="AO31" s="59"/>
      <c r="AP31" s="59"/>
      <c r="AQ31" s="59"/>
      <c r="AR31" s="59"/>
    </row>
    <row r="32" spans="2:44" ht="15.95" customHeight="1" x14ac:dyDescent="0.25">
      <c r="B32" s="59"/>
      <c r="C32" s="122"/>
      <c r="D32" s="122"/>
      <c r="E32" s="122"/>
      <c r="F32" s="122"/>
      <c r="G32" s="122"/>
      <c r="H32" s="122"/>
      <c r="I32" s="148"/>
      <c r="AK32" s="149"/>
      <c r="AL32" s="234"/>
      <c r="AM32" s="234"/>
      <c r="AN32" s="234"/>
      <c r="AO32" s="234"/>
      <c r="AP32" s="234"/>
      <c r="AQ32" s="234"/>
      <c r="AR32" s="59"/>
    </row>
    <row r="33" spans="2:44" ht="15.95" customHeight="1" thickBot="1" x14ac:dyDescent="0.3">
      <c r="B33" s="59"/>
      <c r="I33" s="148"/>
      <c r="J33" s="59"/>
      <c r="K33" s="59"/>
      <c r="L33" s="59"/>
      <c r="M33" s="59"/>
      <c r="N33" s="59"/>
      <c r="O33" s="59"/>
      <c r="P33" s="59"/>
      <c r="W33" s="59"/>
      <c r="X33" s="59"/>
      <c r="Y33" s="59"/>
      <c r="Z33" s="59"/>
      <c r="AA33" s="59"/>
      <c r="AB33" s="59"/>
      <c r="AC33" s="59"/>
      <c r="AD33" s="59"/>
      <c r="AE33" s="59"/>
      <c r="AF33" s="59"/>
      <c r="AG33" s="59"/>
      <c r="AH33" s="59"/>
      <c r="AI33" s="59"/>
      <c r="AJ33" s="59"/>
      <c r="AK33" s="149"/>
      <c r="AL33" s="237"/>
      <c r="AM33" s="237"/>
      <c r="AN33" s="237"/>
      <c r="AO33" s="237"/>
      <c r="AP33" s="237"/>
      <c r="AQ33" s="237"/>
      <c r="AR33" s="59"/>
    </row>
    <row r="34" spans="2:44" ht="15.95" customHeight="1" x14ac:dyDescent="0.25">
      <c r="B34" s="59"/>
      <c r="I34" s="148"/>
      <c r="J34" s="505" t="s">
        <v>64</v>
      </c>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149"/>
      <c r="AL34" s="59"/>
      <c r="AM34" s="59"/>
      <c r="AN34" s="59"/>
      <c r="AO34" s="59"/>
      <c r="AP34" s="59"/>
      <c r="AQ34" s="59"/>
      <c r="AR34" s="59"/>
    </row>
    <row r="35" spans="2:44" ht="15.95" customHeight="1" x14ac:dyDescent="0.25">
      <c r="B35" s="59"/>
      <c r="I35" s="148"/>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149"/>
      <c r="AL35" s="59"/>
      <c r="AM35" s="59"/>
      <c r="AN35" s="59"/>
      <c r="AO35" s="59"/>
      <c r="AP35" s="59"/>
      <c r="AQ35" s="59"/>
      <c r="AR35" s="59"/>
    </row>
    <row r="36" spans="2:44" ht="15.95" customHeight="1" x14ac:dyDescent="0.25">
      <c r="B36" s="59"/>
      <c r="I36" s="148"/>
      <c r="J36" s="229"/>
      <c r="K36" s="229"/>
      <c r="L36" s="229"/>
      <c r="M36" s="229"/>
      <c r="N36" s="229"/>
      <c r="O36" s="229"/>
      <c r="P36" s="59"/>
      <c r="W36" s="59"/>
      <c r="X36" s="59"/>
      <c r="Y36" s="59"/>
      <c r="Z36" s="59"/>
      <c r="AA36" s="59"/>
      <c r="AB36" s="59"/>
      <c r="AC36" s="59"/>
      <c r="AD36" s="59"/>
      <c r="AE36" s="59"/>
      <c r="AF36" s="59"/>
      <c r="AG36" s="59"/>
      <c r="AH36" s="59"/>
      <c r="AI36" s="59"/>
      <c r="AJ36" s="59"/>
      <c r="AK36" s="149"/>
      <c r="AL36" s="59"/>
      <c r="AM36" s="59"/>
      <c r="AN36" s="59"/>
      <c r="AO36" s="59"/>
      <c r="AP36" s="59"/>
      <c r="AQ36" s="59"/>
      <c r="AR36" s="59"/>
    </row>
    <row r="37" spans="2:44" ht="15.95" customHeight="1" x14ac:dyDescent="0.25">
      <c r="B37" s="59"/>
      <c r="I37" s="148"/>
      <c r="J37" s="229"/>
      <c r="K37" s="229"/>
      <c r="L37" s="229"/>
      <c r="M37" s="229"/>
      <c r="N37" s="229"/>
      <c r="O37" s="229"/>
      <c r="P37" s="59"/>
      <c r="W37" s="59"/>
      <c r="X37" s="59"/>
      <c r="Y37" s="59"/>
      <c r="Z37" s="59"/>
      <c r="AA37" s="59"/>
      <c r="AB37" s="59"/>
      <c r="AC37" s="59"/>
      <c r="AD37" s="59"/>
      <c r="AE37" s="59"/>
      <c r="AF37" s="59"/>
      <c r="AG37" s="59"/>
      <c r="AH37" s="59"/>
      <c r="AI37" s="59"/>
      <c r="AJ37" s="59"/>
      <c r="AK37" s="149"/>
      <c r="AL37" s="59"/>
      <c r="AM37" s="59"/>
      <c r="AN37" s="59"/>
      <c r="AO37" s="59"/>
      <c r="AP37" s="59"/>
      <c r="AQ37" s="59"/>
      <c r="AR37" s="59"/>
    </row>
    <row r="38" spans="2:44" ht="15.95" customHeight="1" x14ac:dyDescent="0.25">
      <c r="B38" s="59"/>
      <c r="I38" s="148"/>
      <c r="J38" s="229"/>
      <c r="K38" s="528" t="str">
        <f>INCENSTATUS</f>
        <v>---</v>
      </c>
      <c r="L38" s="528"/>
      <c r="M38" s="528"/>
      <c r="N38" s="528"/>
      <c r="O38" s="528"/>
      <c r="P38" s="528"/>
      <c r="Q38" s="528"/>
      <c r="R38" s="528"/>
      <c r="S38" s="528"/>
      <c r="T38" s="528"/>
      <c r="W38" s="59"/>
      <c r="X38" s="59"/>
      <c r="Y38" s="59"/>
      <c r="Z38" s="528">
        <f>IFERROR(KWHTOTALALL*M02S02F35,0)</f>
        <v>0</v>
      </c>
      <c r="AA38" s="528"/>
      <c r="AB38" s="528"/>
      <c r="AC38" s="528"/>
      <c r="AD38" s="528"/>
      <c r="AE38" s="528"/>
      <c r="AF38" s="528"/>
      <c r="AG38" s="528"/>
      <c r="AH38" s="528"/>
      <c r="AI38" s="528"/>
      <c r="AJ38" s="59"/>
      <c r="AK38" s="149"/>
      <c r="AL38" s="59"/>
      <c r="AM38" s="59"/>
      <c r="AN38" s="59"/>
      <c r="AO38" s="59"/>
      <c r="AP38" s="59"/>
      <c r="AQ38" s="59"/>
      <c r="AR38" s="59"/>
    </row>
    <row r="39" spans="2:44" ht="15.95" customHeight="1" x14ac:dyDescent="0.25">
      <c r="B39" s="59"/>
      <c r="I39" s="148"/>
      <c r="J39" s="229"/>
      <c r="K39" s="528"/>
      <c r="L39" s="528"/>
      <c r="M39" s="528"/>
      <c r="N39" s="528"/>
      <c r="O39" s="528"/>
      <c r="P39" s="528"/>
      <c r="Q39" s="528"/>
      <c r="R39" s="528"/>
      <c r="S39" s="528"/>
      <c r="T39" s="528"/>
      <c r="W39" s="59"/>
      <c r="X39" s="59"/>
      <c r="Y39" s="59"/>
      <c r="Z39" s="528"/>
      <c r="AA39" s="528"/>
      <c r="AB39" s="528"/>
      <c r="AC39" s="528"/>
      <c r="AD39" s="528"/>
      <c r="AE39" s="528"/>
      <c r="AF39" s="528"/>
      <c r="AG39" s="528"/>
      <c r="AH39" s="528"/>
      <c r="AI39" s="528"/>
      <c r="AJ39" s="59"/>
      <c r="AK39" s="149"/>
      <c r="AL39" s="59"/>
      <c r="AM39" s="59"/>
      <c r="AN39" s="59"/>
      <c r="AO39" s="59"/>
      <c r="AP39" s="59"/>
      <c r="AQ39" s="59"/>
      <c r="AR39" s="59"/>
    </row>
    <row r="40" spans="2:44" ht="15.95" customHeight="1" x14ac:dyDescent="0.25">
      <c r="B40" s="59"/>
      <c r="I40" s="148"/>
      <c r="J40" s="229"/>
      <c r="K40" s="529" t="s">
        <v>1301</v>
      </c>
      <c r="L40" s="529"/>
      <c r="M40" s="529"/>
      <c r="N40" s="529"/>
      <c r="O40" s="529"/>
      <c r="P40" s="529"/>
      <c r="Q40" s="529"/>
      <c r="R40" s="529"/>
      <c r="S40" s="529"/>
      <c r="T40" s="529"/>
      <c r="W40" s="59"/>
      <c r="X40" s="59"/>
      <c r="Y40" s="59"/>
      <c r="Z40" s="529" t="s">
        <v>1300</v>
      </c>
      <c r="AA40" s="529"/>
      <c r="AB40" s="529"/>
      <c r="AC40" s="529"/>
      <c r="AD40" s="529"/>
      <c r="AE40" s="529"/>
      <c r="AF40" s="529"/>
      <c r="AG40" s="529"/>
      <c r="AH40" s="529"/>
      <c r="AI40" s="529"/>
      <c r="AJ40" s="59"/>
      <c r="AK40" s="149"/>
      <c r="AL40" s="59"/>
      <c r="AM40" s="59"/>
      <c r="AN40" s="59"/>
      <c r="AO40" s="59"/>
      <c r="AP40" s="59"/>
      <c r="AQ40" s="59"/>
      <c r="AR40" s="59"/>
    </row>
    <row r="41" spans="2:44" ht="15.95" customHeight="1" x14ac:dyDescent="0.25">
      <c r="B41" s="59"/>
      <c r="I41" s="148"/>
      <c r="J41" s="229"/>
      <c r="K41" s="529"/>
      <c r="L41" s="529"/>
      <c r="M41" s="529"/>
      <c r="N41" s="529"/>
      <c r="O41" s="529"/>
      <c r="P41" s="529"/>
      <c r="Q41" s="529"/>
      <c r="R41" s="529"/>
      <c r="S41" s="529"/>
      <c r="T41" s="529"/>
      <c r="W41" s="59"/>
      <c r="X41" s="59"/>
      <c r="Y41" s="59"/>
      <c r="Z41" s="529"/>
      <c r="AA41" s="529"/>
      <c r="AB41" s="529"/>
      <c r="AC41" s="529"/>
      <c r="AD41" s="529"/>
      <c r="AE41" s="529"/>
      <c r="AF41" s="529"/>
      <c r="AG41" s="529"/>
      <c r="AH41" s="529"/>
      <c r="AI41" s="529"/>
      <c r="AJ41" s="59"/>
      <c r="AK41" s="149"/>
      <c r="AL41" s="59"/>
      <c r="AM41" s="59"/>
      <c r="AN41" s="59"/>
      <c r="AO41" s="59"/>
      <c r="AP41" s="59"/>
      <c r="AQ41" s="59"/>
      <c r="AR41" s="59"/>
    </row>
    <row r="42" spans="2:44" ht="15.95" customHeight="1" x14ac:dyDescent="0.25">
      <c r="B42" s="59"/>
      <c r="I42" s="148"/>
      <c r="J42" s="229"/>
      <c r="K42" s="229"/>
      <c r="L42" s="229"/>
      <c r="M42" s="229"/>
      <c r="N42" s="229"/>
      <c r="O42" s="229"/>
      <c r="P42" s="59"/>
      <c r="W42" s="59"/>
      <c r="X42" s="59"/>
      <c r="Y42" s="59"/>
      <c r="Z42" s="59"/>
      <c r="AA42" s="59"/>
      <c r="AB42" s="59"/>
      <c r="AC42" s="59"/>
      <c r="AD42" s="59"/>
      <c r="AE42" s="59"/>
      <c r="AF42" s="59"/>
      <c r="AG42" s="59"/>
      <c r="AH42" s="59"/>
      <c r="AI42" s="59"/>
      <c r="AJ42" s="59"/>
      <c r="AK42" s="149"/>
      <c r="AL42" s="59"/>
      <c r="AM42" s="59"/>
      <c r="AN42" s="59"/>
      <c r="AO42" s="59"/>
      <c r="AP42" s="59"/>
      <c r="AQ42" s="59"/>
      <c r="AR42" s="59"/>
    </row>
    <row r="43" spans="2:44" ht="15.95" customHeight="1" x14ac:dyDescent="0.25">
      <c r="B43" s="59"/>
      <c r="I43" s="148"/>
      <c r="J43" s="229"/>
      <c r="K43" s="229"/>
      <c r="L43" s="229"/>
      <c r="M43" s="229"/>
      <c r="N43" s="229"/>
      <c r="O43" s="229"/>
      <c r="P43" s="59"/>
      <c r="W43" s="59"/>
      <c r="X43" s="59"/>
      <c r="Y43" s="59"/>
      <c r="Z43" s="59"/>
      <c r="AA43" s="59"/>
      <c r="AB43" s="59"/>
      <c r="AC43" s="59"/>
      <c r="AD43" s="59"/>
      <c r="AE43" s="59"/>
      <c r="AF43" s="59"/>
      <c r="AG43" s="59"/>
      <c r="AH43" s="59"/>
      <c r="AI43" s="59"/>
      <c r="AJ43" s="59"/>
      <c r="AK43" s="149"/>
      <c r="AL43" s="59"/>
      <c r="AM43" s="59"/>
      <c r="AN43" s="59"/>
      <c r="AO43" s="59"/>
      <c r="AP43" s="59"/>
      <c r="AQ43" s="59"/>
      <c r="AR43" s="59"/>
    </row>
    <row r="44" spans="2:44" ht="15.95" customHeight="1" thickBot="1" x14ac:dyDescent="0.3">
      <c r="B44" s="59"/>
      <c r="I44" s="148"/>
      <c r="J44" s="229"/>
      <c r="K44" s="229"/>
      <c r="L44" s="229"/>
      <c r="M44" s="229"/>
      <c r="N44" s="229"/>
      <c r="O44" s="229"/>
      <c r="P44" s="59"/>
      <c r="W44" s="59"/>
      <c r="X44" s="59"/>
      <c r="Y44" s="59"/>
      <c r="Z44" s="59"/>
      <c r="AA44" s="59"/>
      <c r="AB44" s="59"/>
      <c r="AC44" s="59"/>
      <c r="AD44" s="59"/>
      <c r="AE44" s="59"/>
      <c r="AF44" s="59"/>
      <c r="AG44" s="59"/>
      <c r="AH44" s="59"/>
      <c r="AI44" s="59"/>
      <c r="AJ44" s="59"/>
      <c r="AK44" s="149"/>
      <c r="AL44" s="59"/>
      <c r="AM44" s="59"/>
      <c r="AN44" s="59"/>
      <c r="AO44" s="59"/>
      <c r="AP44" s="59"/>
      <c r="AQ44" s="59"/>
      <c r="AR44" s="59"/>
    </row>
    <row r="45" spans="2:44" ht="15.95" customHeight="1" thickBot="1" x14ac:dyDescent="0.3">
      <c r="B45" s="59"/>
      <c r="I45" s="148"/>
      <c r="J45" s="229"/>
      <c r="K45" s="59"/>
      <c r="L45" s="59"/>
      <c r="M45" s="59"/>
      <c r="N45" s="59"/>
      <c r="O45" s="517" t="s">
        <v>1316</v>
      </c>
      <c r="P45" s="517"/>
      <c r="Q45" s="517"/>
      <c r="R45" s="517"/>
      <c r="S45" s="517"/>
      <c r="T45" s="517"/>
      <c r="U45" s="517"/>
      <c r="V45" s="517"/>
      <c r="W45" s="517"/>
      <c r="X45" s="518" t="s">
        <v>1317</v>
      </c>
      <c r="Y45" s="518"/>
      <c r="Z45" s="518"/>
      <c r="AA45" s="518"/>
      <c r="AB45" s="518"/>
      <c r="AC45" s="518"/>
      <c r="AD45" s="518"/>
      <c r="AE45" s="518"/>
      <c r="AF45" s="518"/>
      <c r="AG45" s="59"/>
      <c r="AH45" s="59"/>
      <c r="AI45" s="59"/>
      <c r="AJ45" s="59"/>
      <c r="AK45" s="149"/>
      <c r="AL45" s="59"/>
      <c r="AM45" s="59"/>
      <c r="AN45" s="59"/>
      <c r="AO45" s="59"/>
      <c r="AP45" s="59"/>
      <c r="AQ45" s="59"/>
      <c r="AR45" s="59"/>
    </row>
    <row r="46" spans="2:44" ht="15.95" customHeight="1" thickBot="1" x14ac:dyDescent="0.3">
      <c r="B46" s="59"/>
      <c r="I46" s="148"/>
      <c r="J46" s="229"/>
      <c r="K46" s="502" t="s">
        <v>402</v>
      </c>
      <c r="L46" s="502"/>
      <c r="M46" s="502"/>
      <c r="N46" s="502"/>
      <c r="O46" s="513">
        <f>COSTTOTALALL</f>
        <v>0</v>
      </c>
      <c r="P46" s="513"/>
      <c r="Q46" s="513"/>
      <c r="R46" s="513"/>
      <c r="S46" s="513"/>
      <c r="T46" s="513"/>
      <c r="U46" s="513"/>
      <c r="V46" s="513"/>
      <c r="W46" s="513"/>
      <c r="X46" s="514">
        <f>IFERROR(COSTTOTALALL-INCENSTATUS,0)</f>
        <v>0</v>
      </c>
      <c r="Y46" s="514"/>
      <c r="Z46" s="514"/>
      <c r="AA46" s="514"/>
      <c r="AB46" s="514"/>
      <c r="AC46" s="514"/>
      <c r="AD46" s="514"/>
      <c r="AE46" s="514"/>
      <c r="AF46" s="514"/>
      <c r="AG46" s="59"/>
      <c r="AH46" s="59"/>
      <c r="AI46" s="59"/>
      <c r="AJ46" s="59"/>
      <c r="AK46" s="149"/>
      <c r="AL46" s="59"/>
      <c r="AM46" s="59"/>
      <c r="AN46" s="59"/>
      <c r="AO46" s="59"/>
      <c r="AP46" s="59"/>
      <c r="AQ46" s="59"/>
      <c r="AR46" s="59"/>
    </row>
    <row r="47" spans="2:44" ht="15.95" customHeight="1" thickBot="1" x14ac:dyDescent="0.3">
      <c r="B47" s="59"/>
      <c r="I47" s="148"/>
      <c r="J47" s="229"/>
      <c r="K47" s="512"/>
      <c r="L47" s="512"/>
      <c r="M47" s="512"/>
      <c r="N47" s="512"/>
      <c r="O47" s="513"/>
      <c r="P47" s="513"/>
      <c r="Q47" s="513"/>
      <c r="R47" s="513"/>
      <c r="S47" s="513"/>
      <c r="T47" s="513"/>
      <c r="U47" s="513"/>
      <c r="V47" s="513"/>
      <c r="W47" s="513"/>
      <c r="X47" s="514"/>
      <c r="Y47" s="514"/>
      <c r="Z47" s="514"/>
      <c r="AA47" s="514"/>
      <c r="AB47" s="514"/>
      <c r="AC47" s="514"/>
      <c r="AD47" s="514"/>
      <c r="AE47" s="514"/>
      <c r="AF47" s="514"/>
      <c r="AG47" s="59"/>
      <c r="AH47" s="59"/>
      <c r="AI47" s="59"/>
      <c r="AJ47" s="59"/>
      <c r="AK47" s="149"/>
      <c r="AL47" s="59"/>
      <c r="AM47" s="59"/>
      <c r="AN47" s="59"/>
      <c r="AO47" s="59"/>
      <c r="AP47" s="59"/>
      <c r="AQ47" s="59"/>
      <c r="AR47" s="59"/>
    </row>
    <row r="48" spans="2:44" ht="15.95" customHeight="1" thickBot="1" x14ac:dyDescent="0.3">
      <c r="B48" s="59"/>
      <c r="I48" s="148"/>
      <c r="J48" s="229"/>
      <c r="K48" s="501" t="s">
        <v>1302</v>
      </c>
      <c r="L48" s="501"/>
      <c r="M48" s="501"/>
      <c r="N48" s="501"/>
      <c r="O48" s="515">
        <f>IFERROR(Z38/O46,0)</f>
        <v>0</v>
      </c>
      <c r="P48" s="515"/>
      <c r="Q48" s="515"/>
      <c r="R48" s="515"/>
      <c r="S48" s="515"/>
      <c r="T48" s="515"/>
      <c r="U48" s="515"/>
      <c r="V48" s="515"/>
      <c r="W48" s="515"/>
      <c r="X48" s="516">
        <f>IFERROR(Z38/X46,0)</f>
        <v>0</v>
      </c>
      <c r="Y48" s="516"/>
      <c r="Z48" s="516"/>
      <c r="AA48" s="516"/>
      <c r="AB48" s="516"/>
      <c r="AC48" s="516"/>
      <c r="AD48" s="516"/>
      <c r="AE48" s="516"/>
      <c r="AF48" s="516"/>
      <c r="AG48" s="59"/>
      <c r="AH48" s="59"/>
      <c r="AI48" s="59"/>
      <c r="AJ48" s="59"/>
      <c r="AK48" s="149"/>
      <c r="AL48" s="59"/>
      <c r="AM48" s="59"/>
      <c r="AN48" s="59"/>
      <c r="AO48" s="59"/>
      <c r="AP48" s="59"/>
      <c r="AQ48" s="59"/>
      <c r="AR48" s="59"/>
    </row>
    <row r="49" spans="2:50" ht="15.95" customHeight="1" thickBot="1" x14ac:dyDescent="0.3">
      <c r="B49" s="59"/>
      <c r="I49" s="148"/>
      <c r="J49" s="229"/>
      <c r="K49" s="512"/>
      <c r="L49" s="512"/>
      <c r="M49" s="512"/>
      <c r="N49" s="512"/>
      <c r="O49" s="515"/>
      <c r="P49" s="515"/>
      <c r="Q49" s="515"/>
      <c r="R49" s="515"/>
      <c r="S49" s="515"/>
      <c r="T49" s="515"/>
      <c r="U49" s="515"/>
      <c r="V49" s="515"/>
      <c r="W49" s="515"/>
      <c r="X49" s="516"/>
      <c r="Y49" s="516"/>
      <c r="Z49" s="516"/>
      <c r="AA49" s="516"/>
      <c r="AB49" s="516"/>
      <c r="AC49" s="516"/>
      <c r="AD49" s="516"/>
      <c r="AE49" s="516"/>
      <c r="AF49" s="516"/>
      <c r="AG49" s="59"/>
      <c r="AH49" s="59"/>
      <c r="AI49" s="59"/>
      <c r="AJ49" s="59"/>
      <c r="AK49" s="149"/>
      <c r="AL49" s="59"/>
      <c r="AM49" s="59"/>
      <c r="AN49" s="59"/>
      <c r="AO49" s="59"/>
      <c r="AP49" s="59"/>
      <c r="AQ49" s="59"/>
      <c r="AR49" s="59"/>
    </row>
    <row r="50" spans="2:50" ht="15.95" customHeight="1" thickBot="1" x14ac:dyDescent="0.3">
      <c r="B50" s="59"/>
      <c r="I50" s="148"/>
      <c r="J50" s="229"/>
      <c r="K50" s="501" t="s">
        <v>462</v>
      </c>
      <c r="L50" s="501"/>
      <c r="M50" s="501"/>
      <c r="N50" s="501"/>
      <c r="O50" s="503">
        <f>IFERROR(O46/Z38,0)</f>
        <v>0</v>
      </c>
      <c r="P50" s="503"/>
      <c r="Q50" s="503"/>
      <c r="R50" s="503"/>
      <c r="S50" s="503"/>
      <c r="T50" s="503"/>
      <c r="U50" s="503"/>
      <c r="V50" s="503"/>
      <c r="W50" s="503"/>
      <c r="X50" s="504">
        <f>IFERROR(X46/Z38,0)</f>
        <v>0</v>
      </c>
      <c r="Y50" s="504"/>
      <c r="Z50" s="504"/>
      <c r="AA50" s="504"/>
      <c r="AB50" s="504"/>
      <c r="AC50" s="504"/>
      <c r="AD50" s="504"/>
      <c r="AE50" s="504"/>
      <c r="AF50" s="504"/>
      <c r="AG50" s="59"/>
      <c r="AH50" s="59"/>
      <c r="AI50" s="59"/>
      <c r="AJ50" s="59"/>
      <c r="AK50" s="149"/>
      <c r="AL50" s="59"/>
      <c r="AM50" s="59"/>
      <c r="AN50" s="59"/>
      <c r="AO50" s="59"/>
      <c r="AP50" s="59"/>
      <c r="AQ50" s="59"/>
      <c r="AR50" s="59"/>
    </row>
    <row r="51" spans="2:50" ht="15.95" customHeight="1" thickBot="1" x14ac:dyDescent="0.3">
      <c r="B51" s="59"/>
      <c r="I51" s="148"/>
      <c r="J51" s="229"/>
      <c r="K51" s="502"/>
      <c r="L51" s="502"/>
      <c r="M51" s="502"/>
      <c r="N51" s="502"/>
      <c r="O51" s="503"/>
      <c r="P51" s="503"/>
      <c r="Q51" s="503"/>
      <c r="R51" s="503"/>
      <c r="S51" s="503"/>
      <c r="T51" s="503"/>
      <c r="U51" s="503"/>
      <c r="V51" s="503"/>
      <c r="W51" s="503"/>
      <c r="X51" s="504"/>
      <c r="Y51" s="504"/>
      <c r="Z51" s="504"/>
      <c r="AA51" s="504"/>
      <c r="AB51" s="504"/>
      <c r="AC51" s="504"/>
      <c r="AD51" s="504"/>
      <c r="AE51" s="504"/>
      <c r="AF51" s="504"/>
      <c r="AG51" s="59"/>
      <c r="AH51" s="59"/>
      <c r="AI51" s="59"/>
      <c r="AJ51" s="59"/>
      <c r="AK51" s="149"/>
      <c r="AL51" s="59"/>
      <c r="AM51" s="59"/>
      <c r="AN51" s="59"/>
      <c r="AO51" s="59"/>
      <c r="AP51" s="59"/>
      <c r="AQ51" s="59"/>
      <c r="AR51" s="59"/>
    </row>
    <row r="52" spans="2:50" ht="15.95" customHeight="1" thickBot="1" x14ac:dyDescent="0.3">
      <c r="B52" s="59"/>
      <c r="I52" s="148"/>
      <c r="J52" s="229"/>
      <c r="K52" s="229"/>
      <c r="L52" s="229"/>
      <c r="M52" s="229"/>
      <c r="N52" s="229"/>
      <c r="O52" s="229"/>
      <c r="P52" s="59"/>
      <c r="W52" s="59"/>
      <c r="X52" s="59"/>
      <c r="Y52" s="59"/>
      <c r="Z52" s="59"/>
      <c r="AA52" s="59"/>
      <c r="AB52" s="59"/>
      <c r="AC52" s="59"/>
      <c r="AD52" s="59"/>
      <c r="AE52" s="59"/>
      <c r="AF52" s="59"/>
      <c r="AG52" s="59"/>
      <c r="AH52" s="59"/>
      <c r="AI52" s="59"/>
      <c r="AJ52" s="59"/>
      <c r="AK52" s="149"/>
      <c r="AL52" s="59"/>
      <c r="AM52" s="59"/>
      <c r="AN52" s="59"/>
      <c r="AO52" s="59"/>
      <c r="AP52" s="59"/>
      <c r="AQ52" s="59"/>
      <c r="AR52" s="59"/>
    </row>
    <row r="53" spans="2:50" ht="15.95" customHeight="1" x14ac:dyDescent="0.25">
      <c r="B53" s="59"/>
      <c r="I53" s="148"/>
      <c r="J53" s="505" t="s">
        <v>1307</v>
      </c>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149"/>
      <c r="AL53" s="59"/>
      <c r="AM53" s="59"/>
      <c r="AN53" s="59"/>
      <c r="AO53" s="59"/>
      <c r="AP53" s="59"/>
      <c r="AQ53" s="59"/>
      <c r="AR53" s="59"/>
      <c r="AU53" t="s">
        <v>1318</v>
      </c>
      <c r="AX53">
        <f>AVERAGE(66827349,61605176,67743805)/AVERAGE(80878917,75449280,81061185)/1000</f>
        <v>8.2639049963911197E-4</v>
      </c>
    </row>
    <row r="54" spans="2:50" ht="15.95" customHeight="1" x14ac:dyDescent="0.25">
      <c r="B54" s="59"/>
      <c r="I54" s="148"/>
      <c r="J54" s="506"/>
      <c r="K54" s="506"/>
      <c r="L54" s="506"/>
      <c r="M54" s="506"/>
      <c r="N54" s="506"/>
      <c r="O54" s="506"/>
      <c r="P54" s="506"/>
      <c r="Q54" s="506"/>
      <c r="R54" s="506"/>
      <c r="S54" s="506"/>
      <c r="T54" s="506"/>
      <c r="U54" s="506"/>
      <c r="V54" s="506"/>
      <c r="W54" s="506"/>
      <c r="X54" s="506"/>
      <c r="Y54" s="506"/>
      <c r="Z54" s="506"/>
      <c r="AA54" s="506"/>
      <c r="AB54" s="506"/>
      <c r="AC54" s="506"/>
      <c r="AD54" s="506"/>
      <c r="AE54" s="506"/>
      <c r="AF54" s="506"/>
      <c r="AG54" s="506"/>
      <c r="AH54" s="506"/>
      <c r="AI54" s="506"/>
      <c r="AJ54" s="506"/>
      <c r="AK54" s="149"/>
      <c r="AL54" s="59"/>
      <c r="AM54" s="59"/>
      <c r="AN54" s="59"/>
      <c r="AO54" s="59"/>
      <c r="AP54" s="59"/>
      <c r="AQ54" s="59"/>
      <c r="AR54" s="59"/>
      <c r="AU54" s="11" t="s">
        <v>1322</v>
      </c>
      <c r="AW54" s="56"/>
    </row>
    <row r="55" spans="2:50" ht="15.95" customHeight="1" x14ac:dyDescent="0.25">
      <c r="B55" s="59"/>
      <c r="I55" s="148"/>
      <c r="AK55" s="149"/>
      <c r="AL55" s="59"/>
      <c r="AM55" s="59"/>
      <c r="AN55" s="59"/>
      <c r="AO55" s="59"/>
      <c r="AP55" s="59"/>
      <c r="AQ55" s="59"/>
      <c r="AR55" s="59"/>
      <c r="AU55" s="228"/>
    </row>
    <row r="56" spans="2:50" ht="15.95" customHeight="1" x14ac:dyDescent="0.25">
      <c r="B56" s="59"/>
      <c r="I56" s="148"/>
      <c r="AK56" s="149"/>
      <c r="AL56" s="59"/>
      <c r="AM56" s="59"/>
      <c r="AN56" s="59"/>
      <c r="AO56" s="59"/>
      <c r="AP56" s="59"/>
      <c r="AQ56" s="59"/>
      <c r="AR56" s="59"/>
      <c r="AU56" t="s">
        <v>1319</v>
      </c>
      <c r="AX56">
        <v>4.71</v>
      </c>
    </row>
    <row r="57" spans="2:50" ht="15.95" customHeight="1" x14ac:dyDescent="0.25">
      <c r="B57" s="59"/>
      <c r="I57" s="148"/>
      <c r="J57" s="507" t="s">
        <v>1308</v>
      </c>
      <c r="K57" s="507"/>
      <c r="L57" s="507"/>
      <c r="M57" s="507"/>
      <c r="N57" s="507"/>
      <c r="O57" s="507"/>
      <c r="P57" s="507"/>
      <c r="Q57" s="507"/>
      <c r="R57" s="507"/>
      <c r="AK57" s="149"/>
      <c r="AL57" s="59"/>
      <c r="AM57" s="59"/>
      <c r="AN57" s="59"/>
      <c r="AO57" s="59"/>
      <c r="AP57" s="59"/>
      <c r="AQ57" s="59"/>
      <c r="AR57" s="59"/>
      <c r="AU57" t="s">
        <v>1320</v>
      </c>
      <c r="AX57">
        <f>5.734/12</f>
        <v>0.47783333333333333</v>
      </c>
    </row>
    <row r="58" spans="2:50" ht="15.95" customHeight="1" x14ac:dyDescent="0.25">
      <c r="B58" s="59"/>
      <c r="I58" s="148"/>
      <c r="J58" s="507"/>
      <c r="K58" s="507"/>
      <c r="L58" s="507"/>
      <c r="M58" s="507"/>
      <c r="N58" s="507"/>
      <c r="O58" s="507"/>
      <c r="P58" s="507"/>
      <c r="Q58" s="507"/>
      <c r="R58" s="507"/>
      <c r="AK58" s="149"/>
      <c r="AL58" s="59"/>
      <c r="AM58" s="59"/>
      <c r="AN58" s="59"/>
      <c r="AO58" s="59"/>
      <c r="AP58" s="59"/>
      <c r="AQ58" s="59"/>
      <c r="AR58" s="59"/>
      <c r="AU58" t="s">
        <v>1321</v>
      </c>
      <c r="AX58" s="117">
        <v>2.87</v>
      </c>
    </row>
    <row r="59" spans="2:50" ht="15.95" customHeight="1" x14ac:dyDescent="0.25">
      <c r="B59" s="59"/>
      <c r="I59" s="148"/>
      <c r="J59" s="508">
        <f>KWHTOTALALL</f>
        <v>0</v>
      </c>
      <c r="K59" s="508"/>
      <c r="L59" s="508"/>
      <c r="M59" s="508"/>
      <c r="N59" s="508"/>
      <c r="O59" s="508"/>
      <c r="P59" s="508"/>
      <c r="Q59" s="508"/>
      <c r="R59" s="508"/>
      <c r="AK59" s="149"/>
      <c r="AL59" s="59"/>
      <c r="AM59" s="59"/>
      <c r="AN59" s="59"/>
      <c r="AO59" s="59"/>
      <c r="AP59" s="59"/>
      <c r="AQ59" s="59"/>
      <c r="AR59" s="59"/>
      <c r="AU59" t="s">
        <v>1324</v>
      </c>
    </row>
    <row r="60" spans="2:50" ht="15.95" customHeight="1" x14ac:dyDescent="0.25">
      <c r="B60" s="59"/>
      <c r="I60" s="148"/>
      <c r="J60" s="508"/>
      <c r="K60" s="508"/>
      <c r="L60" s="508"/>
      <c r="M60" s="508"/>
      <c r="N60" s="508"/>
      <c r="O60" s="508"/>
      <c r="P60" s="508"/>
      <c r="Q60" s="508"/>
      <c r="R60" s="508"/>
      <c r="AK60" s="149"/>
      <c r="AL60" s="59"/>
      <c r="AM60" s="59"/>
      <c r="AN60" s="59"/>
      <c r="AO60" s="59"/>
      <c r="AP60" s="59"/>
      <c r="AQ60" s="59"/>
      <c r="AR60" s="59"/>
    </row>
    <row r="61" spans="2:50" ht="15.95" customHeight="1" x14ac:dyDescent="0.35">
      <c r="B61" s="59"/>
      <c r="I61" s="148"/>
      <c r="K61" s="242"/>
      <c r="L61" s="242"/>
      <c r="M61" s="242"/>
      <c r="N61" s="242"/>
      <c r="O61" s="242"/>
      <c r="P61" s="242"/>
      <c r="Q61" s="242"/>
      <c r="R61" s="242"/>
      <c r="S61" s="242"/>
      <c r="T61" s="509" t="s">
        <v>1311</v>
      </c>
      <c r="U61" s="509"/>
      <c r="V61" s="509"/>
      <c r="W61" s="509"/>
      <c r="X61" s="509"/>
      <c r="Y61" s="509"/>
      <c r="Z61" s="509"/>
      <c r="AA61" s="242"/>
      <c r="AB61" s="242"/>
      <c r="AC61" s="242"/>
      <c r="AD61" s="242"/>
      <c r="AE61" s="242"/>
      <c r="AF61" s="242"/>
      <c r="AG61" s="242"/>
      <c r="AH61" s="242"/>
      <c r="AI61" s="242"/>
      <c r="AJ61" s="242"/>
      <c r="AK61" s="149"/>
      <c r="AL61" s="59"/>
      <c r="AM61" s="59"/>
      <c r="AN61" s="59"/>
      <c r="AO61" s="59"/>
      <c r="AP61" s="59"/>
      <c r="AQ61" s="59"/>
      <c r="AR61" s="59"/>
    </row>
    <row r="62" spans="2:50" ht="15.95" customHeight="1" x14ac:dyDescent="0.35">
      <c r="B62" s="59"/>
      <c r="I62" s="148"/>
      <c r="J62" s="243"/>
      <c r="K62" s="243"/>
      <c r="L62" s="243"/>
      <c r="M62" s="243"/>
      <c r="N62" s="243"/>
      <c r="O62" s="243"/>
      <c r="P62" s="243"/>
      <c r="Q62" s="243"/>
      <c r="R62" s="243"/>
      <c r="S62" s="243"/>
      <c r="T62" s="509"/>
      <c r="U62" s="509"/>
      <c r="V62" s="509"/>
      <c r="W62" s="509"/>
      <c r="X62" s="509"/>
      <c r="Y62" s="509"/>
      <c r="Z62" s="509"/>
      <c r="AA62" s="243"/>
      <c r="AB62" s="243"/>
      <c r="AC62" s="243"/>
      <c r="AD62" s="243"/>
      <c r="AE62" s="243"/>
      <c r="AF62" s="243"/>
      <c r="AG62" s="243"/>
      <c r="AH62" s="243"/>
      <c r="AI62" s="243"/>
      <c r="AJ62" s="243"/>
      <c r="AK62" s="149"/>
      <c r="AL62" s="59"/>
      <c r="AM62" s="59"/>
      <c r="AN62" s="59"/>
      <c r="AO62" s="59"/>
      <c r="AP62" s="59"/>
      <c r="AQ62" s="59"/>
      <c r="AR62" s="59"/>
    </row>
    <row r="63" spans="2:50" ht="15.95" customHeight="1" x14ac:dyDescent="0.25">
      <c r="B63" s="59"/>
      <c r="I63" s="148"/>
      <c r="T63" s="509"/>
      <c r="U63" s="509"/>
      <c r="V63" s="509"/>
      <c r="W63" s="509"/>
      <c r="X63" s="509"/>
      <c r="Y63" s="509"/>
      <c r="Z63" s="509"/>
      <c r="AK63" s="149"/>
      <c r="AL63" s="59"/>
      <c r="AM63" s="59"/>
      <c r="AN63" s="59"/>
      <c r="AO63" s="59"/>
      <c r="AP63" s="59"/>
      <c r="AQ63" s="59"/>
      <c r="AR63" s="59"/>
    </row>
    <row r="64" spans="2:50" ht="15.95" customHeight="1" x14ac:dyDescent="0.25">
      <c r="B64" s="59"/>
      <c r="I64" s="148"/>
      <c r="T64" s="510">
        <f>J59*AX53</f>
        <v>0</v>
      </c>
      <c r="U64" s="510"/>
      <c r="V64" s="510"/>
      <c r="W64" s="510"/>
      <c r="X64" s="510"/>
      <c r="Y64" s="510"/>
      <c r="Z64" s="510"/>
      <c r="AK64" s="149"/>
      <c r="AL64" s="59"/>
      <c r="AM64" s="59"/>
      <c r="AN64" s="59"/>
      <c r="AO64" s="59"/>
      <c r="AP64" s="59"/>
      <c r="AQ64" s="59"/>
      <c r="AR64" s="59"/>
    </row>
    <row r="65" spans="2:44" ht="15.95" customHeight="1" x14ac:dyDescent="0.25">
      <c r="B65" s="59"/>
      <c r="I65" s="148"/>
      <c r="T65" s="510"/>
      <c r="U65" s="510"/>
      <c r="V65" s="510"/>
      <c r="W65" s="510"/>
      <c r="X65" s="510"/>
      <c r="Y65" s="510"/>
      <c r="Z65" s="510"/>
      <c r="AK65" s="149"/>
      <c r="AL65" s="59"/>
      <c r="AM65" s="59"/>
      <c r="AN65" s="59"/>
      <c r="AO65" s="59"/>
      <c r="AP65" s="59"/>
      <c r="AQ65" s="59"/>
      <c r="AR65" s="59"/>
    </row>
    <row r="66" spans="2:44" ht="15.95" customHeight="1" x14ac:dyDescent="0.25">
      <c r="B66" s="59"/>
      <c r="I66" s="148"/>
      <c r="T66" s="511" t="s">
        <v>1323</v>
      </c>
      <c r="U66" s="511"/>
      <c r="V66" s="511"/>
      <c r="W66" s="511"/>
      <c r="X66" s="511"/>
      <c r="Y66" s="511"/>
      <c r="Z66" s="511"/>
      <c r="AK66" s="149"/>
      <c r="AL66" s="59"/>
      <c r="AM66" s="59"/>
      <c r="AN66" s="59"/>
      <c r="AO66" s="59"/>
      <c r="AP66" s="59"/>
      <c r="AQ66" s="59"/>
      <c r="AR66" s="59"/>
    </row>
    <row r="67" spans="2:44" ht="15.95" customHeight="1" x14ac:dyDescent="0.25">
      <c r="B67" s="59"/>
      <c r="I67" s="148"/>
      <c r="T67" s="511"/>
      <c r="U67" s="511"/>
      <c r="V67" s="511"/>
      <c r="W67" s="511"/>
      <c r="X67" s="511"/>
      <c r="Y67" s="511"/>
      <c r="Z67" s="511"/>
      <c r="AK67" s="149"/>
      <c r="AL67" s="59"/>
      <c r="AM67" s="59"/>
      <c r="AN67" s="59"/>
      <c r="AO67" s="59"/>
      <c r="AP67" s="59"/>
      <c r="AQ67" s="59"/>
      <c r="AR67" s="59"/>
    </row>
    <row r="68" spans="2:44" ht="15.95" customHeight="1" x14ac:dyDescent="0.25">
      <c r="B68" s="59"/>
      <c r="I68" s="148"/>
      <c r="AK68" s="149"/>
      <c r="AL68" s="59"/>
      <c r="AM68" s="59"/>
      <c r="AN68" s="59"/>
      <c r="AO68" s="59"/>
      <c r="AP68" s="59"/>
      <c r="AQ68" s="59"/>
      <c r="AR68" s="59"/>
    </row>
    <row r="69" spans="2:44" ht="15.95" customHeight="1" x14ac:dyDescent="0.25">
      <c r="B69" s="59"/>
      <c r="I69" s="148"/>
      <c r="M69" s="500">
        <f>T64/AX56</f>
        <v>0</v>
      </c>
      <c r="N69" s="500"/>
      <c r="O69" s="500"/>
      <c r="P69" s="500"/>
      <c r="Q69" s="500"/>
      <c r="R69" s="500"/>
      <c r="S69" s="244"/>
      <c r="T69" s="244"/>
      <c r="V69" s="500">
        <f>T64/AX57</f>
        <v>0</v>
      </c>
      <c r="W69" s="500"/>
      <c r="X69" s="500"/>
      <c r="Y69" s="500"/>
      <c r="Z69" s="500"/>
      <c r="AA69" s="500"/>
      <c r="AB69" s="245"/>
      <c r="AC69" s="245"/>
      <c r="AD69" s="245"/>
      <c r="AE69" s="500">
        <f>T64/AX58</f>
        <v>0</v>
      </c>
      <c r="AF69" s="500"/>
      <c r="AG69" s="500"/>
      <c r="AH69" s="500"/>
      <c r="AI69" s="500"/>
      <c r="AJ69" s="500"/>
      <c r="AK69" s="149"/>
      <c r="AL69" s="59"/>
      <c r="AM69" s="59"/>
      <c r="AN69" s="59"/>
      <c r="AO69" s="59"/>
      <c r="AP69" s="59"/>
      <c r="AQ69" s="59"/>
      <c r="AR69" s="59"/>
    </row>
    <row r="70" spans="2:44" ht="15.95" customHeight="1" x14ac:dyDescent="0.25">
      <c r="B70" s="59"/>
      <c r="I70" s="148"/>
      <c r="M70" s="494" t="s">
        <v>1325</v>
      </c>
      <c r="N70" s="494"/>
      <c r="O70" s="494"/>
      <c r="P70" s="494"/>
      <c r="Q70" s="494"/>
      <c r="R70" s="494"/>
      <c r="S70" s="246"/>
      <c r="T70" s="246"/>
      <c r="V70" s="497" t="s">
        <v>1309</v>
      </c>
      <c r="W70" s="497"/>
      <c r="X70" s="497"/>
      <c r="Y70" s="497"/>
      <c r="Z70" s="497"/>
      <c r="AA70" s="497"/>
      <c r="AB70" s="247"/>
      <c r="AC70" s="247"/>
      <c r="AD70" s="247"/>
      <c r="AE70" s="497" t="s">
        <v>1327</v>
      </c>
      <c r="AF70" s="497"/>
      <c r="AG70" s="497"/>
      <c r="AH70" s="497"/>
      <c r="AI70" s="497"/>
      <c r="AJ70" s="497"/>
      <c r="AK70" s="149"/>
      <c r="AL70" s="59"/>
      <c r="AM70" s="59"/>
      <c r="AN70" s="59"/>
      <c r="AO70" s="59"/>
      <c r="AP70" s="59"/>
      <c r="AQ70" s="59"/>
      <c r="AR70" s="59"/>
    </row>
    <row r="71" spans="2:44" ht="15.95" customHeight="1" x14ac:dyDescent="0.25">
      <c r="B71" s="59"/>
      <c r="I71" s="148"/>
      <c r="M71" s="494" t="s">
        <v>1326</v>
      </c>
      <c r="N71" s="494"/>
      <c r="O71" s="494"/>
      <c r="P71" s="494"/>
      <c r="Q71" s="494"/>
      <c r="R71" s="494"/>
      <c r="S71" s="246"/>
      <c r="T71" s="246"/>
      <c r="V71" s="498" t="s">
        <v>1310</v>
      </c>
      <c r="W71" s="498"/>
      <c r="X71" s="498"/>
      <c r="Y71" s="498"/>
      <c r="Z71" s="498"/>
      <c r="AA71" s="498"/>
      <c r="AE71" s="499" t="s">
        <v>1328</v>
      </c>
      <c r="AF71" s="499"/>
      <c r="AG71" s="499"/>
      <c r="AH71" s="499"/>
      <c r="AI71" s="499"/>
      <c r="AJ71" s="499"/>
      <c r="AK71" s="149"/>
      <c r="AL71" s="59"/>
      <c r="AM71" s="59"/>
      <c r="AN71" s="59"/>
      <c r="AO71" s="59"/>
      <c r="AP71" s="59"/>
      <c r="AQ71" s="59"/>
      <c r="AR71" s="59"/>
    </row>
    <row r="72" spans="2:44" ht="15.95" customHeight="1" x14ac:dyDescent="0.25">
      <c r="B72" s="59"/>
      <c r="I72" s="148"/>
      <c r="M72" s="494"/>
      <c r="N72" s="494"/>
      <c r="O72" s="494"/>
      <c r="P72" s="494"/>
      <c r="Q72" s="494"/>
      <c r="R72" s="494"/>
      <c r="AK72" s="149"/>
      <c r="AL72" s="59"/>
      <c r="AM72" s="59"/>
      <c r="AN72" s="59"/>
      <c r="AO72" s="59"/>
      <c r="AP72" s="59"/>
      <c r="AQ72" s="59"/>
      <c r="AR72" s="59"/>
    </row>
    <row r="73" spans="2:44" ht="15.95" customHeight="1" x14ac:dyDescent="0.25">
      <c r="B73" s="59"/>
      <c r="I73" s="148"/>
      <c r="AK73" s="149"/>
      <c r="AL73" s="59"/>
      <c r="AM73" s="59"/>
      <c r="AN73" s="59"/>
      <c r="AO73" s="59"/>
      <c r="AP73" s="59"/>
      <c r="AQ73" s="59"/>
      <c r="AR73" s="59"/>
    </row>
    <row r="74" spans="2:44" ht="15.95" customHeight="1" x14ac:dyDescent="0.25">
      <c r="B74" s="59"/>
      <c r="I74" s="148"/>
      <c r="J74" s="229"/>
      <c r="K74" s="229"/>
      <c r="L74" s="229"/>
      <c r="M74" s="229"/>
      <c r="N74" s="229"/>
      <c r="O74" s="229"/>
      <c r="P74" s="59"/>
      <c r="W74" s="59"/>
      <c r="X74" s="59"/>
      <c r="Y74" s="59"/>
      <c r="Z74" s="59"/>
      <c r="AA74" s="59"/>
      <c r="AB74" s="59"/>
      <c r="AC74" s="59"/>
      <c r="AD74" s="59"/>
      <c r="AE74" s="59"/>
      <c r="AF74" s="59"/>
      <c r="AG74" s="59"/>
      <c r="AH74" s="59"/>
      <c r="AI74" s="59"/>
      <c r="AJ74" s="59"/>
      <c r="AK74" s="149"/>
      <c r="AL74" s="59"/>
      <c r="AM74" s="59"/>
      <c r="AN74" s="59"/>
      <c r="AO74" s="59"/>
      <c r="AP74" s="59"/>
      <c r="AQ74" s="59"/>
      <c r="AR74" s="59"/>
    </row>
    <row r="75" spans="2:44" ht="15.95" customHeight="1" x14ac:dyDescent="0.25">
      <c r="B75" s="59"/>
      <c r="I75" s="148"/>
      <c r="J75" s="495" t="s">
        <v>1062</v>
      </c>
      <c r="K75" s="495"/>
      <c r="L75" s="495"/>
      <c r="M75" s="495"/>
      <c r="N75" s="495"/>
      <c r="O75" s="495"/>
      <c r="P75" s="495"/>
      <c r="Q75" s="495"/>
      <c r="R75" s="495"/>
      <c r="S75" s="495"/>
      <c r="T75" s="495"/>
      <c r="U75" s="495"/>
      <c r="V75" s="495"/>
      <c r="W75" s="495"/>
      <c r="X75" s="495"/>
      <c r="Y75" s="495"/>
      <c r="Z75" s="495"/>
      <c r="AA75" s="495"/>
      <c r="AB75" s="495"/>
      <c r="AC75" s="495"/>
      <c r="AD75" s="495"/>
      <c r="AE75" s="495"/>
      <c r="AF75" s="495"/>
      <c r="AG75" s="495"/>
      <c r="AH75" s="495"/>
      <c r="AI75" s="495"/>
      <c r="AJ75" s="495"/>
      <c r="AK75" s="149"/>
      <c r="AL75" s="59"/>
      <c r="AM75" s="59"/>
      <c r="AN75" s="59"/>
      <c r="AO75" s="59"/>
      <c r="AP75" s="59"/>
      <c r="AQ75" s="59"/>
      <c r="AR75" s="59"/>
    </row>
    <row r="76" spans="2:44" ht="15.95" customHeight="1" x14ac:dyDescent="0.25">
      <c r="B76" s="59"/>
      <c r="I76" s="148"/>
      <c r="J76" s="495"/>
      <c r="K76" s="495"/>
      <c r="L76" s="495"/>
      <c r="M76" s="495"/>
      <c r="N76" s="495"/>
      <c r="O76" s="495"/>
      <c r="P76" s="495"/>
      <c r="Q76" s="495"/>
      <c r="R76" s="495"/>
      <c r="S76" s="495"/>
      <c r="T76" s="495"/>
      <c r="U76" s="495"/>
      <c r="V76" s="495"/>
      <c r="W76" s="495"/>
      <c r="X76" s="495"/>
      <c r="Y76" s="495"/>
      <c r="Z76" s="495"/>
      <c r="AA76" s="495"/>
      <c r="AB76" s="495"/>
      <c r="AC76" s="495"/>
      <c r="AD76" s="495"/>
      <c r="AE76" s="495"/>
      <c r="AF76" s="495"/>
      <c r="AG76" s="495"/>
      <c r="AH76" s="495"/>
      <c r="AI76" s="495"/>
      <c r="AJ76" s="495"/>
      <c r="AK76" s="149"/>
      <c r="AL76" s="59"/>
      <c r="AM76" s="59"/>
      <c r="AN76" s="59"/>
      <c r="AO76" s="59"/>
      <c r="AP76" s="59"/>
      <c r="AQ76" s="59"/>
      <c r="AR76" s="59"/>
    </row>
    <row r="77" spans="2:44" ht="15.95" customHeight="1" x14ac:dyDescent="0.25">
      <c r="B77" s="59"/>
      <c r="I77" s="150"/>
      <c r="J77" s="248"/>
      <c r="K77" s="248"/>
      <c r="L77" s="248"/>
      <c r="M77" s="248"/>
      <c r="N77" s="248"/>
      <c r="O77" s="248"/>
      <c r="P77" s="151"/>
      <c r="Q77" s="106"/>
      <c r="R77" s="106"/>
      <c r="S77" s="106"/>
      <c r="T77" s="106"/>
      <c r="U77" s="106"/>
      <c r="V77" s="106"/>
      <c r="W77" s="151"/>
      <c r="X77" s="151"/>
      <c r="Y77" s="151"/>
      <c r="Z77" s="151"/>
      <c r="AA77" s="151"/>
      <c r="AB77" s="151"/>
      <c r="AC77" s="151"/>
      <c r="AD77" s="151"/>
      <c r="AE77" s="151"/>
      <c r="AF77" s="151"/>
      <c r="AG77" s="151"/>
      <c r="AH77" s="151"/>
      <c r="AI77" s="151"/>
      <c r="AJ77" s="151"/>
      <c r="AK77" s="152"/>
      <c r="AL77" s="59"/>
      <c r="AM77" s="59"/>
      <c r="AN77" s="59"/>
      <c r="AO77" s="59"/>
      <c r="AP77" s="59"/>
      <c r="AQ77" s="59"/>
      <c r="AR77" s="59"/>
    </row>
    <row r="78" spans="2:44" ht="15.95" customHeight="1" x14ac:dyDescent="0.25">
      <c r="B78" s="59"/>
      <c r="I78" s="59"/>
      <c r="J78" s="229"/>
      <c r="K78" s="229"/>
      <c r="L78" s="229"/>
      <c r="M78" s="229"/>
      <c r="N78" s="229"/>
      <c r="O78" s="229"/>
      <c r="P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2:44" ht="15.95" hidden="1" customHeight="1" x14ac:dyDescent="0.25">
      <c r="B79" s="59"/>
      <c r="I79" s="59"/>
      <c r="J79" s="229"/>
      <c r="K79" s="229"/>
      <c r="L79" s="229"/>
      <c r="M79" s="229"/>
      <c r="N79" s="229"/>
      <c r="O79" s="229"/>
      <c r="P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2:44" ht="15.95" hidden="1" customHeight="1" x14ac:dyDescent="0.25">
      <c r="B80" s="59"/>
      <c r="I80" s="59"/>
      <c r="J80" s="229"/>
      <c r="K80" s="229"/>
      <c r="L80" s="229"/>
      <c r="M80" s="229"/>
      <c r="N80" s="229"/>
      <c r="O80" s="229"/>
      <c r="P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2:44" ht="15.95" hidden="1" customHeight="1" x14ac:dyDescent="0.25">
      <c r="B81" s="59"/>
      <c r="I81" s="59"/>
      <c r="J81" s="229"/>
      <c r="K81" s="229"/>
      <c r="L81" s="229"/>
      <c r="M81" s="229"/>
      <c r="N81" s="229"/>
      <c r="O81" s="229"/>
      <c r="P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2:44" ht="15.95" hidden="1" customHeight="1" x14ac:dyDescent="0.25">
      <c r="B82" s="59"/>
      <c r="I82" s="59"/>
      <c r="J82" s="229"/>
      <c r="K82" s="229"/>
      <c r="L82" s="229"/>
      <c r="M82" s="229"/>
      <c r="N82" s="229"/>
      <c r="O82" s="229"/>
      <c r="P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2:44" ht="15.95" hidden="1" customHeight="1" x14ac:dyDescent="0.25">
      <c r="B83" s="59"/>
      <c r="I83" s="59"/>
      <c r="J83" s="229"/>
      <c r="K83" s="229"/>
      <c r="L83" s="229"/>
      <c r="M83" s="229"/>
      <c r="N83" s="229"/>
      <c r="O83" s="229"/>
      <c r="P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2:44" ht="15.95" hidden="1" customHeight="1" x14ac:dyDescent="0.25">
      <c r="B84" s="59"/>
      <c r="I84" s="59"/>
      <c r="J84" s="229"/>
      <c r="K84" s="229"/>
      <c r="L84" s="229"/>
      <c r="M84" s="229"/>
      <c r="N84" s="229"/>
      <c r="O84" s="229"/>
      <c r="P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2:44" ht="15.95" hidden="1" customHeight="1" x14ac:dyDescent="0.25">
      <c r="B85" s="59"/>
      <c r="I85" s="59"/>
      <c r="J85" s="229"/>
      <c r="K85" s="229"/>
      <c r="L85" s="229"/>
      <c r="M85" s="229"/>
      <c r="N85" s="229"/>
      <c r="O85" s="229"/>
      <c r="P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2:44" ht="15.95" hidden="1" customHeight="1" x14ac:dyDescent="0.25">
      <c r="B86" s="59"/>
      <c r="I86" s="59"/>
      <c r="J86" s="229"/>
      <c r="K86" s="229"/>
      <c r="L86" s="229"/>
      <c r="M86" s="229"/>
      <c r="N86" s="229"/>
      <c r="O86" s="229"/>
      <c r="P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2:44" ht="15.95" hidden="1" customHeight="1" x14ac:dyDescent="0.25">
      <c r="B87" s="59"/>
      <c r="I87" s="59"/>
      <c r="J87" s="229"/>
      <c r="K87" s="229"/>
      <c r="L87" s="229"/>
      <c r="M87" s="229"/>
      <c r="N87" s="229"/>
      <c r="O87" s="229"/>
      <c r="P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2:44" ht="15.95" hidden="1" customHeight="1" x14ac:dyDescent="0.25">
      <c r="B88" s="59"/>
      <c r="I88" s="59"/>
      <c r="J88" s="229"/>
      <c r="K88" s="229"/>
      <c r="L88" s="229"/>
      <c r="M88" s="229"/>
      <c r="N88" s="229"/>
      <c r="O88" s="229"/>
      <c r="P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2:44" ht="15.95" hidden="1" customHeight="1" x14ac:dyDescent="0.25">
      <c r="B89" s="59"/>
      <c r="I89" s="59"/>
      <c r="J89" s="229"/>
      <c r="K89" s="229"/>
      <c r="L89" s="229"/>
      <c r="M89" s="229"/>
      <c r="N89" s="229"/>
      <c r="O89" s="229"/>
      <c r="P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2:44" ht="15.95" hidden="1" customHeight="1" x14ac:dyDescent="0.25">
      <c r="B90" s="59"/>
      <c r="I90" s="59"/>
      <c r="J90" s="229"/>
      <c r="K90" s="229"/>
      <c r="L90" s="229"/>
      <c r="M90" s="229"/>
      <c r="N90" s="229"/>
      <c r="O90" s="229"/>
      <c r="P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2:44" ht="15.95" hidden="1" customHeight="1" x14ac:dyDescent="0.25">
      <c r="B91" s="59"/>
      <c r="I91" s="59"/>
      <c r="J91" s="229"/>
      <c r="K91" s="229"/>
      <c r="L91" s="229"/>
      <c r="M91" s="229"/>
      <c r="N91" s="229"/>
      <c r="O91" s="229"/>
      <c r="P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2:44" ht="15.95" hidden="1" customHeight="1" x14ac:dyDescent="0.25">
      <c r="B92" s="59"/>
      <c r="I92" s="59"/>
      <c r="J92" s="229"/>
      <c r="K92" s="229"/>
      <c r="L92" s="229"/>
      <c r="M92" s="229"/>
      <c r="N92" s="229"/>
      <c r="O92" s="229"/>
      <c r="P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2:44" ht="15.95" hidden="1" customHeight="1" x14ac:dyDescent="0.25">
      <c r="B93" s="59"/>
      <c r="I93" s="59"/>
      <c r="J93" s="229"/>
      <c r="K93" s="229"/>
      <c r="L93" s="229"/>
      <c r="M93" s="229"/>
      <c r="N93" s="229"/>
      <c r="O93" s="229"/>
      <c r="P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x14ac:dyDescent="0.25">
      <c r="B94" s="59"/>
      <c r="I94" s="59"/>
      <c r="J94" s="229"/>
      <c r="K94" s="229"/>
      <c r="L94" s="229"/>
      <c r="M94" s="229"/>
      <c r="N94" s="229"/>
      <c r="O94" s="229"/>
      <c r="P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x14ac:dyDescent="0.25">
      <c r="B95" s="59"/>
      <c r="I95" s="59"/>
      <c r="J95" s="229"/>
      <c r="K95" s="229"/>
      <c r="L95" s="229"/>
      <c r="M95" s="229"/>
      <c r="N95" s="229"/>
      <c r="O95" s="229"/>
      <c r="P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x14ac:dyDescent="0.25">
      <c r="B96" s="59"/>
      <c r="I96" s="59"/>
      <c r="J96" s="229"/>
      <c r="K96" s="229"/>
      <c r="L96" s="229"/>
      <c r="M96" s="229"/>
      <c r="N96" s="229"/>
      <c r="O96" s="229"/>
      <c r="P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x14ac:dyDescent="0.25">
      <c r="B97" s="59"/>
      <c r="I97" s="59"/>
      <c r="J97" s="229"/>
      <c r="K97" s="229"/>
      <c r="L97" s="229"/>
      <c r="M97" s="229"/>
      <c r="N97" s="229"/>
      <c r="O97" s="229"/>
      <c r="P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x14ac:dyDescent="0.25">
      <c r="B98" s="59"/>
      <c r="I98" s="59"/>
      <c r="J98" s="229"/>
      <c r="K98" s="229"/>
      <c r="L98" s="229"/>
      <c r="M98" s="229"/>
      <c r="N98" s="229"/>
      <c r="O98" s="229"/>
      <c r="P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x14ac:dyDescent="0.25">
      <c r="B99" s="59"/>
      <c r="I99" s="59"/>
      <c r="J99" s="229"/>
      <c r="K99" s="229"/>
      <c r="L99" s="229"/>
      <c r="M99" s="229"/>
      <c r="N99" s="229"/>
      <c r="O99" s="229"/>
      <c r="P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x14ac:dyDescent="0.25">
      <c r="B100" s="59"/>
      <c r="I100" s="59"/>
      <c r="J100" s="229"/>
      <c r="K100" s="229"/>
      <c r="L100" s="229"/>
      <c r="M100" s="229"/>
      <c r="N100" s="229"/>
      <c r="O100" s="229"/>
      <c r="P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x14ac:dyDescent="0.25">
      <c r="B101" s="59"/>
      <c r="I101" s="59"/>
      <c r="J101" s="229"/>
      <c r="K101" s="229"/>
      <c r="L101" s="229"/>
      <c r="M101" s="229"/>
      <c r="N101" s="229"/>
      <c r="O101" s="229"/>
      <c r="P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x14ac:dyDescent="0.25">
      <c r="B102" s="59"/>
      <c r="I102" s="59"/>
      <c r="J102" s="229"/>
      <c r="K102" s="229"/>
      <c r="L102" s="229"/>
      <c r="M102" s="229"/>
      <c r="N102" s="229"/>
      <c r="O102" s="229"/>
      <c r="P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x14ac:dyDescent="0.25">
      <c r="B103" s="59"/>
      <c r="I103" s="59"/>
      <c r="J103" s="229"/>
      <c r="K103" s="229"/>
      <c r="L103" s="229"/>
      <c r="M103" s="229"/>
      <c r="N103" s="229"/>
      <c r="O103" s="229"/>
      <c r="P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x14ac:dyDescent="0.25">
      <c r="B104" s="59"/>
      <c r="I104" s="59"/>
      <c r="J104" s="229"/>
      <c r="K104" s="229"/>
      <c r="L104" s="229"/>
      <c r="M104" s="229"/>
      <c r="N104" s="229"/>
      <c r="O104" s="229"/>
      <c r="P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x14ac:dyDescent="0.25">
      <c r="B105" s="59"/>
      <c r="I105" s="59"/>
      <c r="J105" s="229"/>
      <c r="K105" s="229"/>
      <c r="L105" s="229"/>
      <c r="M105" s="229"/>
      <c r="N105" s="229"/>
      <c r="O105" s="229"/>
      <c r="P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x14ac:dyDescent="0.25">
      <c r="B106" s="59"/>
      <c r="I106" s="59"/>
      <c r="J106" s="229"/>
      <c r="K106" s="229"/>
      <c r="L106" s="229"/>
      <c r="M106" s="229"/>
      <c r="N106" s="229"/>
      <c r="O106" s="229"/>
      <c r="P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x14ac:dyDescent="0.25">
      <c r="B107" s="59"/>
      <c r="I107" s="59"/>
      <c r="J107" s="229"/>
      <c r="K107" s="229"/>
      <c r="L107" s="229"/>
      <c r="M107" s="229"/>
      <c r="N107" s="229"/>
      <c r="O107" s="229"/>
      <c r="P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x14ac:dyDescent="0.25">
      <c r="B108" s="59"/>
      <c r="I108" s="59"/>
      <c r="J108" s="229"/>
      <c r="K108" s="229"/>
      <c r="L108" s="229"/>
      <c r="M108" s="229"/>
      <c r="N108" s="229"/>
      <c r="O108" s="229"/>
      <c r="P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x14ac:dyDescent="0.25">
      <c r="B109" s="59"/>
      <c r="I109" s="59"/>
      <c r="J109" s="229"/>
      <c r="K109" s="229"/>
      <c r="L109" s="229"/>
      <c r="M109" s="229"/>
      <c r="N109" s="229"/>
      <c r="O109" s="229"/>
      <c r="P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x14ac:dyDescent="0.25">
      <c r="B110" s="59"/>
      <c r="I110" s="59"/>
      <c r="J110" s="229"/>
      <c r="K110" s="229"/>
      <c r="L110" s="229"/>
      <c r="M110" s="229"/>
      <c r="N110" s="229"/>
      <c r="O110" s="229"/>
      <c r="P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x14ac:dyDescent="0.25">
      <c r="B111" s="59"/>
      <c r="I111" s="59"/>
      <c r="J111" s="229"/>
      <c r="K111" s="229"/>
      <c r="L111" s="229"/>
      <c r="M111" s="229"/>
      <c r="N111" s="229"/>
      <c r="O111" s="229"/>
      <c r="P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x14ac:dyDescent="0.25">
      <c r="B112" s="59"/>
      <c r="I112" s="59"/>
      <c r="J112" s="229"/>
      <c r="K112" s="229"/>
      <c r="L112" s="229"/>
      <c r="M112" s="229"/>
      <c r="N112" s="229"/>
      <c r="O112" s="229"/>
      <c r="P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x14ac:dyDescent="0.25">
      <c r="B113" s="59"/>
      <c r="I113" s="59"/>
      <c r="J113" s="229"/>
      <c r="K113" s="229"/>
      <c r="L113" s="229"/>
      <c r="M113" s="229"/>
      <c r="N113" s="229"/>
      <c r="O113" s="229"/>
      <c r="P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x14ac:dyDescent="0.25">
      <c r="B114" s="59"/>
      <c r="I114" s="59"/>
      <c r="J114" s="229"/>
      <c r="K114" s="229"/>
      <c r="L114" s="229"/>
      <c r="M114" s="229"/>
      <c r="N114" s="229"/>
      <c r="O114" s="229"/>
      <c r="P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x14ac:dyDescent="0.25">
      <c r="B115" s="59"/>
      <c r="I115" s="59"/>
      <c r="J115" s="229"/>
      <c r="K115" s="229"/>
      <c r="L115" s="229"/>
      <c r="M115" s="229"/>
      <c r="N115" s="229"/>
      <c r="O115" s="229"/>
      <c r="P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x14ac:dyDescent="0.25">
      <c r="B116" s="59"/>
      <c r="I116" s="59"/>
      <c r="J116" s="229"/>
      <c r="K116" s="229"/>
      <c r="L116" s="229"/>
      <c r="M116" s="229"/>
      <c r="N116" s="229"/>
      <c r="O116" s="229"/>
      <c r="P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x14ac:dyDescent="0.25">
      <c r="B117" s="59"/>
      <c r="I117" s="59"/>
      <c r="J117" s="229"/>
      <c r="K117" s="229"/>
      <c r="L117" s="229"/>
      <c r="M117" s="229"/>
      <c r="N117" s="229"/>
      <c r="O117" s="229"/>
      <c r="P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x14ac:dyDescent="0.25">
      <c r="B118" s="59"/>
      <c r="I118" s="59"/>
      <c r="J118" s="229"/>
      <c r="K118" s="229"/>
      <c r="L118" s="229"/>
      <c r="M118" s="229"/>
      <c r="N118" s="229"/>
      <c r="O118" s="229"/>
      <c r="P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x14ac:dyDescent="0.25">
      <c r="B119" s="59"/>
      <c r="I119" s="59"/>
      <c r="J119" s="229"/>
      <c r="K119" s="229"/>
      <c r="L119" s="229"/>
      <c r="M119" s="229"/>
      <c r="N119" s="229"/>
      <c r="O119" s="229"/>
      <c r="P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x14ac:dyDescent="0.25">
      <c r="B120" s="59"/>
      <c r="I120" s="59"/>
      <c r="J120" s="229"/>
      <c r="K120" s="229"/>
      <c r="L120" s="229"/>
      <c r="M120" s="229"/>
      <c r="N120" s="229"/>
      <c r="O120" s="229"/>
      <c r="P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x14ac:dyDescent="0.25">
      <c r="B121" s="59"/>
      <c r="I121" s="59"/>
      <c r="J121" s="229"/>
      <c r="K121" s="229"/>
      <c r="L121" s="229"/>
      <c r="M121" s="229"/>
      <c r="N121" s="229"/>
      <c r="O121" s="229"/>
      <c r="P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x14ac:dyDescent="0.25">
      <c r="B122" s="59"/>
      <c r="I122" s="59"/>
      <c r="J122" s="229"/>
      <c r="K122" s="229"/>
      <c r="L122" s="229"/>
      <c r="M122" s="229"/>
      <c r="N122" s="229"/>
      <c r="O122" s="229"/>
      <c r="P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x14ac:dyDescent="0.25">
      <c r="B123" s="59"/>
      <c r="I123" s="59"/>
      <c r="J123" s="229"/>
      <c r="K123" s="229"/>
      <c r="L123" s="229"/>
      <c r="M123" s="229"/>
      <c r="N123" s="229"/>
      <c r="O123" s="229"/>
      <c r="P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x14ac:dyDescent="0.25">
      <c r="B124" s="59"/>
      <c r="I124" s="59"/>
      <c r="J124" s="229"/>
      <c r="K124" s="229"/>
      <c r="L124" s="229"/>
      <c r="M124" s="229"/>
      <c r="N124" s="229"/>
      <c r="O124" s="229"/>
      <c r="P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x14ac:dyDescent="0.25">
      <c r="B125" s="59"/>
      <c r="I125" s="59"/>
      <c r="J125" s="229"/>
      <c r="K125" s="229"/>
      <c r="L125" s="229"/>
      <c r="M125" s="229"/>
      <c r="N125" s="229"/>
      <c r="O125" s="229"/>
      <c r="P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x14ac:dyDescent="0.25">
      <c r="B126" s="59"/>
      <c r="I126" s="59"/>
      <c r="J126" s="229"/>
      <c r="K126" s="229"/>
      <c r="L126" s="229"/>
      <c r="M126" s="229"/>
      <c r="N126" s="229"/>
      <c r="O126" s="229"/>
      <c r="P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x14ac:dyDescent="0.25">
      <c r="B127" s="59"/>
      <c r="I127" s="59"/>
      <c r="J127" s="229"/>
      <c r="K127" s="229"/>
      <c r="L127" s="229"/>
      <c r="M127" s="229"/>
      <c r="N127" s="229"/>
      <c r="O127" s="229"/>
      <c r="P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x14ac:dyDescent="0.25">
      <c r="B128" s="59"/>
      <c r="I128" s="59"/>
      <c r="J128" s="229"/>
      <c r="K128" s="229"/>
      <c r="L128" s="229"/>
      <c r="M128" s="229"/>
      <c r="N128" s="229"/>
      <c r="O128" s="229"/>
      <c r="P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x14ac:dyDescent="0.25">
      <c r="B129" s="59"/>
      <c r="I129" s="59"/>
      <c r="J129" s="229"/>
      <c r="K129" s="229"/>
      <c r="L129" s="229"/>
      <c r="M129" s="229"/>
      <c r="N129" s="229"/>
      <c r="O129" s="229"/>
      <c r="P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x14ac:dyDescent="0.25">
      <c r="B130" s="59"/>
      <c r="I130" s="59"/>
      <c r="J130" s="229"/>
      <c r="K130" s="229"/>
      <c r="L130" s="229"/>
      <c r="M130" s="229"/>
      <c r="N130" s="229"/>
      <c r="O130" s="229"/>
      <c r="P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x14ac:dyDescent="0.25">
      <c r="B131" s="59"/>
      <c r="I131" s="59"/>
      <c r="J131" s="229"/>
      <c r="K131" s="229"/>
      <c r="L131" s="229"/>
      <c r="M131" s="229"/>
      <c r="N131" s="229"/>
      <c r="O131" s="229"/>
      <c r="P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x14ac:dyDescent="0.25">
      <c r="B132" s="59"/>
      <c r="I132" s="59"/>
      <c r="J132" s="229"/>
      <c r="K132" s="229"/>
      <c r="L132" s="229"/>
      <c r="M132" s="229"/>
      <c r="N132" s="229"/>
      <c r="O132" s="229"/>
      <c r="P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x14ac:dyDescent="0.25">
      <c r="B133" s="59"/>
      <c r="I133" s="59"/>
      <c r="J133" s="229"/>
      <c r="K133" s="229"/>
      <c r="L133" s="229"/>
      <c r="M133" s="229"/>
      <c r="N133" s="229"/>
      <c r="O133" s="229"/>
      <c r="P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x14ac:dyDescent="0.25">
      <c r="B134" s="59"/>
      <c r="I134" s="59"/>
      <c r="J134" s="229"/>
      <c r="K134" s="229"/>
      <c r="L134" s="229"/>
      <c r="M134" s="229"/>
      <c r="N134" s="229"/>
      <c r="O134" s="229"/>
      <c r="P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x14ac:dyDescent="0.25">
      <c r="B135" s="59"/>
      <c r="I135" s="59"/>
      <c r="J135" s="229"/>
      <c r="K135" s="229"/>
      <c r="L135" s="229"/>
      <c r="M135" s="229"/>
      <c r="N135" s="229"/>
      <c r="O135" s="229"/>
      <c r="P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x14ac:dyDescent="0.25">
      <c r="B136" s="59"/>
      <c r="I136" s="59"/>
      <c r="J136" s="229"/>
      <c r="K136" s="229"/>
      <c r="L136" s="229"/>
      <c r="M136" s="229"/>
      <c r="N136" s="229"/>
      <c r="O136" s="229"/>
      <c r="P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x14ac:dyDescent="0.25">
      <c r="B137" s="59"/>
      <c r="I137" s="59"/>
      <c r="J137" s="229"/>
      <c r="K137" s="229"/>
      <c r="L137" s="229"/>
      <c r="M137" s="229"/>
      <c r="N137" s="229"/>
      <c r="O137" s="229"/>
      <c r="P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x14ac:dyDescent="0.25">
      <c r="B138" s="59"/>
      <c r="I138" s="59"/>
      <c r="J138" s="229"/>
      <c r="K138" s="229"/>
      <c r="L138" s="229"/>
      <c r="M138" s="229"/>
      <c r="N138" s="229"/>
      <c r="O138" s="229"/>
      <c r="P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x14ac:dyDescent="0.25">
      <c r="B139" s="59"/>
      <c r="I139" s="59"/>
      <c r="J139" s="229"/>
      <c r="K139" s="229"/>
      <c r="L139" s="229"/>
      <c r="M139" s="229"/>
      <c r="N139" s="229"/>
      <c r="O139" s="229"/>
      <c r="P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x14ac:dyDescent="0.25">
      <c r="B140" s="59"/>
      <c r="I140" s="59"/>
      <c r="J140" s="229"/>
      <c r="K140" s="229"/>
      <c r="L140" s="229"/>
      <c r="M140" s="229"/>
      <c r="N140" s="229"/>
      <c r="O140" s="229"/>
      <c r="P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x14ac:dyDescent="0.25">
      <c r="B141" s="59"/>
      <c r="I141" s="59"/>
      <c r="J141" s="229"/>
      <c r="K141" s="229"/>
      <c r="L141" s="229"/>
      <c r="M141" s="229"/>
      <c r="N141" s="229"/>
      <c r="O141" s="229"/>
      <c r="P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x14ac:dyDescent="0.25">
      <c r="B142" s="59"/>
      <c r="I142" s="59"/>
      <c r="J142" s="229"/>
      <c r="K142" s="229"/>
      <c r="L142" s="229"/>
      <c r="M142" s="229"/>
      <c r="N142" s="229"/>
      <c r="O142" s="229"/>
      <c r="P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x14ac:dyDescent="0.25">
      <c r="B143" s="59"/>
      <c r="I143" s="59"/>
      <c r="J143" s="229"/>
      <c r="K143" s="229"/>
      <c r="L143" s="229"/>
      <c r="M143" s="229"/>
      <c r="N143" s="229"/>
      <c r="O143" s="229"/>
      <c r="P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x14ac:dyDescent="0.25">
      <c r="B144" s="59"/>
      <c r="I144" s="59"/>
      <c r="J144" s="229"/>
      <c r="K144" s="229"/>
      <c r="L144" s="229"/>
      <c r="M144" s="229"/>
      <c r="N144" s="229"/>
      <c r="O144" s="229"/>
      <c r="P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x14ac:dyDescent="0.25">
      <c r="B145" s="59"/>
      <c r="I145" s="59"/>
      <c r="J145" s="229"/>
      <c r="K145" s="229"/>
      <c r="L145" s="229"/>
      <c r="M145" s="229"/>
      <c r="N145" s="229"/>
      <c r="O145" s="229"/>
      <c r="P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x14ac:dyDescent="0.25">
      <c r="B146" s="59"/>
      <c r="I146" s="59"/>
      <c r="J146" s="229"/>
      <c r="K146" s="229"/>
      <c r="L146" s="229"/>
      <c r="M146" s="229"/>
      <c r="N146" s="229"/>
      <c r="O146" s="229"/>
      <c r="P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x14ac:dyDescent="0.25">
      <c r="B147" s="59"/>
      <c r="I147" s="59"/>
      <c r="J147" s="229"/>
      <c r="K147" s="229"/>
      <c r="L147" s="229"/>
      <c r="M147" s="229"/>
      <c r="N147" s="229"/>
      <c r="O147" s="229"/>
      <c r="P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x14ac:dyDescent="0.25">
      <c r="B148" s="59"/>
      <c r="I148" s="59"/>
      <c r="J148" s="229"/>
      <c r="K148" s="229"/>
      <c r="L148" s="229"/>
      <c r="M148" s="229"/>
      <c r="N148" s="229"/>
      <c r="O148" s="229"/>
      <c r="P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x14ac:dyDescent="0.25">
      <c r="B149" s="59"/>
      <c r="I149" s="59"/>
      <c r="J149" s="229"/>
      <c r="K149" s="229"/>
      <c r="L149" s="229"/>
      <c r="M149" s="229"/>
      <c r="N149" s="229"/>
      <c r="O149" s="229"/>
      <c r="P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x14ac:dyDescent="0.25">
      <c r="B150" s="59"/>
      <c r="I150" s="59"/>
      <c r="J150" s="229"/>
      <c r="K150" s="229"/>
      <c r="L150" s="229"/>
      <c r="M150" s="229"/>
      <c r="N150" s="229"/>
      <c r="O150" s="229"/>
      <c r="P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x14ac:dyDescent="0.25">
      <c r="B151" s="59"/>
      <c r="I151" s="59"/>
      <c r="J151" s="229"/>
      <c r="K151" s="229"/>
      <c r="L151" s="229"/>
      <c r="M151" s="229"/>
      <c r="N151" s="229"/>
      <c r="O151" s="229"/>
      <c r="P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x14ac:dyDescent="0.25">
      <c r="B152" s="59"/>
      <c r="I152" s="59"/>
      <c r="J152" s="229"/>
      <c r="K152" s="229"/>
      <c r="L152" s="229"/>
      <c r="M152" s="229"/>
      <c r="N152" s="229"/>
      <c r="O152" s="229"/>
      <c r="P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x14ac:dyDescent="0.25">
      <c r="B153" s="59"/>
      <c r="I153" s="59"/>
      <c r="J153" s="229"/>
      <c r="K153" s="229"/>
      <c r="L153" s="229"/>
      <c r="M153" s="229"/>
      <c r="N153" s="229"/>
      <c r="O153" s="229"/>
      <c r="P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x14ac:dyDescent="0.25">
      <c r="B154" s="59"/>
      <c r="I154" s="59"/>
      <c r="J154" s="229"/>
      <c r="K154" s="229"/>
      <c r="L154" s="229"/>
      <c r="M154" s="229"/>
      <c r="N154" s="229"/>
      <c r="O154" s="229"/>
      <c r="P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x14ac:dyDescent="0.25">
      <c r="B155" s="59"/>
      <c r="I155" s="59"/>
      <c r="J155" s="229"/>
      <c r="K155" s="229"/>
      <c r="L155" s="229"/>
      <c r="M155" s="229"/>
      <c r="N155" s="229"/>
      <c r="O155" s="229"/>
      <c r="P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x14ac:dyDescent="0.25">
      <c r="B156" s="59"/>
      <c r="I156" s="59"/>
      <c r="J156" s="229"/>
      <c r="K156" s="229"/>
      <c r="L156" s="229"/>
      <c r="M156" s="229"/>
      <c r="N156" s="229"/>
      <c r="O156" s="229"/>
      <c r="P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x14ac:dyDescent="0.25">
      <c r="B157" s="59"/>
      <c r="I157" s="59"/>
      <c r="J157" s="229"/>
      <c r="K157" s="229"/>
      <c r="L157" s="229"/>
      <c r="M157" s="229"/>
      <c r="N157" s="229"/>
      <c r="O157" s="229"/>
      <c r="P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x14ac:dyDescent="0.25">
      <c r="B158" s="59"/>
      <c r="I158" s="59"/>
      <c r="J158" s="229"/>
      <c r="K158" s="229"/>
      <c r="L158" s="229"/>
      <c r="M158" s="229"/>
      <c r="N158" s="229"/>
      <c r="O158" s="229"/>
      <c r="P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x14ac:dyDescent="0.25">
      <c r="B159" s="59"/>
      <c r="I159" s="59"/>
      <c r="J159" s="229"/>
      <c r="K159" s="229"/>
      <c r="L159" s="229"/>
      <c r="M159" s="229"/>
      <c r="N159" s="229"/>
      <c r="O159" s="229"/>
      <c r="P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x14ac:dyDescent="0.25">
      <c r="B160" s="59"/>
      <c r="I160" s="59"/>
      <c r="J160" s="229"/>
      <c r="K160" s="229"/>
      <c r="L160" s="229"/>
      <c r="M160" s="229"/>
      <c r="N160" s="229"/>
      <c r="O160" s="229"/>
      <c r="P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x14ac:dyDescent="0.25">
      <c r="B161" s="59"/>
      <c r="I161" s="59"/>
      <c r="J161" s="229"/>
      <c r="K161" s="229"/>
      <c r="L161" s="229"/>
      <c r="M161" s="229"/>
      <c r="N161" s="229"/>
      <c r="O161" s="229"/>
      <c r="P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x14ac:dyDescent="0.25">
      <c r="B162" s="59"/>
      <c r="I162" s="59"/>
      <c r="J162" s="229"/>
      <c r="K162" s="229"/>
      <c r="L162" s="229"/>
      <c r="M162" s="229"/>
      <c r="N162" s="229"/>
      <c r="O162" s="229"/>
      <c r="P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x14ac:dyDescent="0.25">
      <c r="B163" s="59"/>
      <c r="I163" s="59"/>
      <c r="J163" s="229"/>
      <c r="K163" s="229"/>
      <c r="L163" s="229"/>
      <c r="M163" s="229"/>
      <c r="N163" s="229"/>
      <c r="O163" s="229"/>
      <c r="P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x14ac:dyDescent="0.25">
      <c r="B164" s="59"/>
      <c r="I164" s="59"/>
      <c r="J164" s="229"/>
      <c r="K164" s="229"/>
      <c r="L164" s="229"/>
      <c r="M164" s="229"/>
      <c r="N164" s="229"/>
      <c r="O164" s="229"/>
      <c r="P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x14ac:dyDescent="0.25">
      <c r="B165" s="59"/>
      <c r="I165" s="59"/>
      <c r="J165" s="229"/>
      <c r="K165" s="229"/>
      <c r="L165" s="229"/>
      <c r="M165" s="229"/>
      <c r="N165" s="229"/>
      <c r="O165" s="229"/>
      <c r="P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x14ac:dyDescent="0.25">
      <c r="B166" s="59"/>
      <c r="I166" s="59"/>
      <c r="J166" s="229"/>
      <c r="K166" s="229"/>
      <c r="L166" s="229"/>
      <c r="M166" s="229"/>
      <c r="N166" s="229"/>
      <c r="O166" s="229"/>
      <c r="P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x14ac:dyDescent="0.25">
      <c r="B167" s="59"/>
      <c r="I167" s="59"/>
      <c r="J167" s="229"/>
      <c r="K167" s="229"/>
      <c r="L167" s="229"/>
      <c r="M167" s="229"/>
      <c r="N167" s="229"/>
      <c r="O167" s="229"/>
      <c r="P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x14ac:dyDescent="0.25">
      <c r="B168" s="59"/>
      <c r="I168" s="59"/>
      <c r="J168" s="229"/>
      <c r="K168" s="229"/>
      <c r="L168" s="229"/>
      <c r="M168" s="229"/>
      <c r="N168" s="229"/>
      <c r="O168" s="229"/>
      <c r="P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x14ac:dyDescent="0.25">
      <c r="B169" s="59"/>
      <c r="I169" s="59"/>
      <c r="J169" s="229"/>
      <c r="K169" s="229"/>
      <c r="L169" s="229"/>
      <c r="M169" s="229"/>
      <c r="N169" s="229"/>
      <c r="O169" s="229"/>
      <c r="P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x14ac:dyDescent="0.25">
      <c r="B170" s="59"/>
      <c r="I170" s="59"/>
      <c r="J170" s="229"/>
      <c r="K170" s="229"/>
      <c r="L170" s="229"/>
      <c r="M170" s="229"/>
      <c r="N170" s="229"/>
      <c r="O170" s="229"/>
      <c r="P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x14ac:dyDescent="0.25">
      <c r="B171" s="59"/>
      <c r="I171" s="59"/>
      <c r="J171" s="229"/>
      <c r="K171" s="229"/>
      <c r="L171" s="229"/>
      <c r="M171" s="229"/>
      <c r="N171" s="229"/>
      <c r="O171" s="229"/>
      <c r="P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x14ac:dyDescent="0.25">
      <c r="B172" s="59"/>
      <c r="I172" s="59"/>
      <c r="J172" s="229"/>
      <c r="K172" s="229"/>
      <c r="L172" s="229"/>
      <c r="M172" s="229"/>
      <c r="N172" s="229"/>
      <c r="O172" s="229"/>
      <c r="P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x14ac:dyDescent="0.25">
      <c r="B173" s="59"/>
      <c r="I173" s="59"/>
      <c r="J173" s="229"/>
      <c r="K173" s="229"/>
      <c r="L173" s="229"/>
      <c r="M173" s="229"/>
      <c r="N173" s="229"/>
      <c r="O173" s="229"/>
      <c r="P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x14ac:dyDescent="0.25">
      <c r="B174" s="59"/>
      <c r="I174" s="59"/>
      <c r="J174" s="229"/>
      <c r="K174" s="229"/>
      <c r="L174" s="229"/>
      <c r="M174" s="229"/>
      <c r="N174" s="229"/>
      <c r="O174" s="229"/>
      <c r="P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x14ac:dyDescent="0.25">
      <c r="B175" s="59"/>
      <c r="I175" s="59"/>
      <c r="J175" s="229"/>
      <c r="K175" s="229"/>
      <c r="L175" s="229"/>
      <c r="M175" s="229"/>
      <c r="N175" s="229"/>
      <c r="O175" s="229"/>
      <c r="P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x14ac:dyDescent="0.25">
      <c r="B176" s="59"/>
      <c r="I176" s="59"/>
      <c r="J176" s="229"/>
      <c r="K176" s="229"/>
      <c r="L176" s="229"/>
      <c r="M176" s="229"/>
      <c r="N176" s="229"/>
      <c r="O176" s="229"/>
      <c r="P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x14ac:dyDescent="0.25">
      <c r="B177" s="59"/>
      <c r="I177" s="59"/>
      <c r="J177" s="229"/>
      <c r="K177" s="229"/>
      <c r="L177" s="229"/>
      <c r="M177" s="229"/>
      <c r="N177" s="229"/>
      <c r="O177" s="229"/>
      <c r="P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x14ac:dyDescent="0.25">
      <c r="B178" s="59"/>
      <c r="I178" s="59"/>
      <c r="J178" s="229"/>
      <c r="K178" s="229"/>
      <c r="L178" s="229"/>
      <c r="M178" s="229"/>
      <c r="N178" s="229"/>
      <c r="O178" s="229"/>
      <c r="P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x14ac:dyDescent="0.25">
      <c r="B179" s="59"/>
      <c r="I179" s="59"/>
      <c r="J179" s="229"/>
      <c r="K179" s="229"/>
      <c r="L179" s="229"/>
      <c r="M179" s="229"/>
      <c r="N179" s="229"/>
      <c r="O179" s="229"/>
      <c r="P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x14ac:dyDescent="0.25">
      <c r="B180" s="59"/>
      <c r="I180" s="59"/>
      <c r="J180" s="229"/>
      <c r="K180" s="229"/>
      <c r="L180" s="229"/>
      <c r="M180" s="229"/>
      <c r="N180" s="229"/>
      <c r="O180" s="229"/>
      <c r="P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x14ac:dyDescent="0.25">
      <c r="B181" s="59"/>
      <c r="I181" s="59"/>
      <c r="J181" s="229"/>
      <c r="K181" s="229"/>
      <c r="L181" s="229"/>
      <c r="M181" s="229"/>
      <c r="N181" s="229"/>
      <c r="O181" s="229"/>
      <c r="P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x14ac:dyDescent="0.25">
      <c r="B182" s="59"/>
      <c r="I182" s="59"/>
      <c r="J182" s="229"/>
      <c r="K182" s="229"/>
      <c r="L182" s="229"/>
      <c r="M182" s="229"/>
      <c r="N182" s="229"/>
      <c r="O182" s="229"/>
      <c r="P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x14ac:dyDescent="0.25">
      <c r="B183" s="59"/>
      <c r="I183" s="59"/>
      <c r="J183" s="229"/>
      <c r="K183" s="229"/>
      <c r="L183" s="229"/>
      <c r="M183" s="229"/>
      <c r="N183" s="229"/>
      <c r="O183" s="229"/>
      <c r="P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x14ac:dyDescent="0.25">
      <c r="B184" s="59"/>
      <c r="I184" s="59"/>
      <c r="J184" s="229"/>
      <c r="K184" s="229"/>
      <c r="L184" s="229"/>
      <c r="M184" s="229"/>
      <c r="N184" s="229"/>
      <c r="O184" s="229"/>
      <c r="P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x14ac:dyDescent="0.25">
      <c r="B185" s="59"/>
      <c r="I185" s="59"/>
      <c r="J185" s="229"/>
      <c r="K185" s="229"/>
      <c r="L185" s="229"/>
      <c r="M185" s="229"/>
      <c r="N185" s="229"/>
      <c r="O185" s="229"/>
      <c r="P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x14ac:dyDescent="0.25">
      <c r="B186" s="59"/>
      <c r="I186" s="59"/>
      <c r="J186" s="229"/>
      <c r="K186" s="229"/>
      <c r="L186" s="229"/>
      <c r="M186" s="229"/>
      <c r="N186" s="229"/>
      <c r="O186" s="229"/>
      <c r="P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x14ac:dyDescent="0.25">
      <c r="B187" s="59"/>
      <c r="I187" s="59"/>
      <c r="J187" s="229"/>
      <c r="K187" s="229"/>
      <c r="L187" s="229"/>
      <c r="M187" s="229"/>
      <c r="N187" s="229"/>
      <c r="O187" s="229"/>
      <c r="P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x14ac:dyDescent="0.25">
      <c r="B188" s="59"/>
      <c r="I188" s="59"/>
      <c r="J188" s="229"/>
      <c r="K188" s="229"/>
      <c r="L188" s="229"/>
      <c r="M188" s="229"/>
      <c r="N188" s="229"/>
      <c r="O188" s="229"/>
      <c r="P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x14ac:dyDescent="0.25">
      <c r="B189" s="59"/>
      <c r="I189" s="59"/>
      <c r="J189" s="229"/>
      <c r="K189" s="229"/>
      <c r="L189" s="229"/>
      <c r="M189" s="229"/>
      <c r="N189" s="229"/>
      <c r="O189" s="229"/>
      <c r="P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x14ac:dyDescent="0.25">
      <c r="B190" s="59"/>
      <c r="I190" s="59"/>
      <c r="J190" s="229"/>
      <c r="K190" s="229"/>
      <c r="L190" s="229"/>
      <c r="M190" s="229"/>
      <c r="N190" s="229"/>
      <c r="O190" s="229"/>
      <c r="P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x14ac:dyDescent="0.25">
      <c r="B191" s="59"/>
      <c r="I191" s="59"/>
      <c r="J191" s="229"/>
      <c r="K191" s="229"/>
      <c r="L191" s="229"/>
      <c r="M191" s="229"/>
      <c r="N191" s="229"/>
      <c r="O191" s="229"/>
      <c r="P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x14ac:dyDescent="0.25">
      <c r="B192" s="59"/>
      <c r="I192" s="59"/>
      <c r="J192" s="229"/>
      <c r="K192" s="229"/>
      <c r="L192" s="229"/>
      <c r="M192" s="229"/>
      <c r="N192" s="229"/>
      <c r="O192" s="229"/>
      <c r="P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x14ac:dyDescent="0.25">
      <c r="B193" s="59"/>
      <c r="I193" s="59"/>
      <c r="J193" s="229"/>
      <c r="K193" s="229"/>
      <c r="L193" s="229"/>
      <c r="M193" s="229"/>
      <c r="N193" s="229"/>
      <c r="O193" s="229"/>
      <c r="P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x14ac:dyDescent="0.25">
      <c r="B194" s="59"/>
      <c r="I194" s="59"/>
      <c r="J194" s="229"/>
      <c r="K194" s="229"/>
      <c r="L194" s="229"/>
      <c r="M194" s="229"/>
      <c r="N194" s="229"/>
      <c r="O194" s="229"/>
      <c r="P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x14ac:dyDescent="0.25">
      <c r="B195" s="59"/>
      <c r="I195" s="59"/>
      <c r="J195" s="229"/>
      <c r="K195" s="229"/>
      <c r="L195" s="229"/>
      <c r="M195" s="229"/>
      <c r="N195" s="229"/>
      <c r="O195" s="229"/>
      <c r="P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x14ac:dyDescent="0.25">
      <c r="B196" s="59"/>
      <c r="I196" s="59"/>
      <c r="J196" s="229"/>
      <c r="K196" s="229"/>
      <c r="L196" s="229"/>
      <c r="M196" s="229"/>
      <c r="N196" s="229"/>
      <c r="O196" s="229"/>
      <c r="P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x14ac:dyDescent="0.25">
      <c r="B197" s="59"/>
      <c r="I197" s="59"/>
      <c r="J197" s="229"/>
      <c r="K197" s="229"/>
      <c r="L197" s="229"/>
      <c r="M197" s="229"/>
      <c r="N197" s="229"/>
      <c r="O197" s="229"/>
      <c r="P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x14ac:dyDescent="0.25">
      <c r="B198" s="59"/>
      <c r="I198" s="59"/>
      <c r="J198" s="229"/>
      <c r="K198" s="229"/>
      <c r="L198" s="229"/>
      <c r="M198" s="229"/>
      <c r="N198" s="229"/>
      <c r="O198" s="229"/>
      <c r="P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x14ac:dyDescent="0.25">
      <c r="B199" s="59"/>
      <c r="I199" s="59"/>
      <c r="J199" s="229"/>
      <c r="K199" s="229"/>
      <c r="L199" s="229"/>
      <c r="M199" s="229"/>
      <c r="N199" s="229"/>
      <c r="O199" s="22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x14ac:dyDescent="0.25">
      <c r="B200" s="60" t="e">
        <f>FOOT1</f>
        <v>#REF!</v>
      </c>
      <c r="C200" s="60"/>
      <c r="D200" s="60"/>
      <c r="E200" s="60"/>
      <c r="F200" s="60"/>
      <c r="G200" s="60"/>
      <c r="H200" s="60"/>
      <c r="I200" s="60"/>
      <c r="J200" s="60"/>
      <c r="K200" s="60"/>
      <c r="L200" s="60"/>
      <c r="M200" s="496" t="e">
        <f>FOOTDISCLAIM</f>
        <v>#REF!</v>
      </c>
      <c r="N200" s="496"/>
      <c r="O200" s="496"/>
      <c r="P200" s="496"/>
      <c r="Q200" s="496"/>
      <c r="R200" s="496"/>
      <c r="S200" s="496"/>
      <c r="T200" s="496"/>
      <c r="U200" s="496"/>
      <c r="V200" s="496"/>
      <c r="W200" s="496"/>
      <c r="X200" s="496"/>
      <c r="Y200" s="496"/>
      <c r="Z200" s="496"/>
      <c r="AA200" s="496"/>
      <c r="AB200" s="496"/>
      <c r="AC200" s="496"/>
      <c r="AD200" s="496"/>
      <c r="AE200" s="496"/>
      <c r="AF200" s="496"/>
      <c r="AG200" s="496"/>
      <c r="AH200" s="60"/>
      <c r="AI200" s="60"/>
      <c r="AJ200" s="60"/>
      <c r="AK200" s="60"/>
      <c r="AL200" s="60"/>
      <c r="AM200" s="60"/>
      <c r="AN200" s="60"/>
      <c r="AO200" s="60"/>
      <c r="AP200" s="60"/>
      <c r="AQ200" s="60"/>
      <c r="AR200" s="125" t="e">
        <f>FOOT4</f>
        <v>#REF!</v>
      </c>
    </row>
    <row r="201" spans="2:44" ht="15.95" customHeight="1" x14ac:dyDescent="0.25">
      <c r="B201" s="60" t="e">
        <f>FOOT2</f>
        <v>#REF!</v>
      </c>
      <c r="C201" s="60"/>
      <c r="D201" s="60"/>
      <c r="E201" s="60"/>
      <c r="F201" s="60"/>
      <c r="G201" s="60"/>
      <c r="H201" s="60"/>
      <c r="I201" s="60"/>
      <c r="J201" s="60"/>
      <c r="K201" s="60"/>
      <c r="L201" s="60"/>
      <c r="M201" s="496"/>
      <c r="N201" s="496"/>
      <c r="O201" s="496"/>
      <c r="P201" s="496"/>
      <c r="Q201" s="496"/>
      <c r="R201" s="496"/>
      <c r="S201" s="496"/>
      <c r="T201" s="496"/>
      <c r="U201" s="496"/>
      <c r="V201" s="496"/>
      <c r="W201" s="496"/>
      <c r="X201" s="496"/>
      <c r="Y201" s="496"/>
      <c r="Z201" s="496"/>
      <c r="AA201" s="496"/>
      <c r="AB201" s="496"/>
      <c r="AC201" s="496"/>
      <c r="AD201" s="496"/>
      <c r="AE201" s="496"/>
      <c r="AF201" s="496"/>
      <c r="AG201" s="496"/>
      <c r="AH201" s="60"/>
      <c r="AI201" s="60"/>
      <c r="AJ201" s="60"/>
      <c r="AK201" s="60"/>
      <c r="AL201" s="60"/>
      <c r="AM201" s="60"/>
      <c r="AN201" s="60"/>
      <c r="AO201" s="60"/>
      <c r="AP201" s="60"/>
      <c r="AQ201" s="60"/>
      <c r="AR201" s="125" t="e">
        <f>FOOT5</f>
        <v>#REF!</v>
      </c>
    </row>
    <row r="202" spans="2:44" ht="15.95" customHeight="1" x14ac:dyDescent="0.25">
      <c r="B202" s="153" t="e">
        <f>FOOT3</f>
        <v>#REF!</v>
      </c>
      <c r="C202" s="60"/>
      <c r="D202" s="60"/>
      <c r="E202" s="60"/>
      <c r="F202" s="60"/>
      <c r="G202" s="60"/>
      <c r="H202" s="60"/>
      <c r="I202" s="60"/>
      <c r="J202" s="60"/>
      <c r="K202" s="60"/>
      <c r="L202" s="60"/>
      <c r="M202" s="62"/>
      <c r="N202" s="60"/>
      <c r="O202" s="60"/>
      <c r="P202" s="62"/>
      <c r="Q202" s="62"/>
      <c r="R202" s="62"/>
      <c r="S202" s="62"/>
      <c r="T202" s="62"/>
      <c r="U202" s="62"/>
      <c r="V202" s="62"/>
      <c r="W202" s="63" t="str">
        <f>VERSION</f>
        <v>Lighting One-Page 2.3.0</v>
      </c>
      <c r="X202" s="62"/>
      <c r="Y202" s="62"/>
      <c r="Z202" s="62"/>
      <c r="AA202" s="62"/>
      <c r="AB202" s="62"/>
      <c r="AC202" s="62"/>
      <c r="AD202" s="62"/>
      <c r="AE202" s="60"/>
      <c r="AF202" s="60"/>
      <c r="AG202" s="60"/>
      <c r="AH202" s="60"/>
      <c r="AI202" s="60"/>
      <c r="AJ202" s="60"/>
      <c r="AK202" s="60"/>
      <c r="AL202" s="60"/>
      <c r="AM202" s="60"/>
      <c r="AN202" s="60"/>
      <c r="AO202" s="60"/>
      <c r="AP202" s="60"/>
      <c r="AQ202" s="60"/>
      <c r="AR202" s="125" t="e">
        <f>FOOT6</f>
        <v>#REF!</v>
      </c>
    </row>
  </sheetData>
  <sheetProtection algorithmName="SHA-512" hashValue="vzzmRrq6tW1ngdlfrrLURxe34im+WHJmy1Vt2sX7q2ZA6KwReyg7CtmvPS/+OLY0T3rHLQq7H70XMyMkXc9h0w==" saltValue="fguBabJk+puHXSz1wDQlUQ==" spinCount="100000" sheet="1" objects="1" scenarios="1" selectLockedCells="1"/>
  <mergeCells count="59">
    <mergeCell ref="J15:AB18"/>
    <mergeCell ref="Q1:R1"/>
    <mergeCell ref="U1:V1"/>
    <mergeCell ref="Y1:Z1"/>
    <mergeCell ref="M10:AG10"/>
    <mergeCell ref="M11:AG12"/>
    <mergeCell ref="J19:AJ20"/>
    <mergeCell ref="J21:AJ21"/>
    <mergeCell ref="O22:T22"/>
    <mergeCell ref="AC22:AH22"/>
    <mergeCell ref="O23:T23"/>
    <mergeCell ref="AC23:AH23"/>
    <mergeCell ref="O24:R24"/>
    <mergeCell ref="S24:T24"/>
    <mergeCell ref="U24:V24"/>
    <mergeCell ref="AC24:AH24"/>
    <mergeCell ref="O25:T25"/>
    <mergeCell ref="AC25:AF25"/>
    <mergeCell ref="AG25:AH25"/>
    <mergeCell ref="O45:W45"/>
    <mergeCell ref="X45:AF45"/>
    <mergeCell ref="AI25:AJ25"/>
    <mergeCell ref="O26:T26"/>
    <mergeCell ref="AC26:AH26"/>
    <mergeCell ref="AC27:AH27"/>
    <mergeCell ref="K30:AC31"/>
    <mergeCell ref="AD30:AJ31"/>
    <mergeCell ref="J34:AJ35"/>
    <mergeCell ref="K38:T39"/>
    <mergeCell ref="Z38:AI39"/>
    <mergeCell ref="K40:T41"/>
    <mergeCell ref="Z40:AI41"/>
    <mergeCell ref="K46:N47"/>
    <mergeCell ref="O46:W47"/>
    <mergeCell ref="X46:AF47"/>
    <mergeCell ref="K48:N49"/>
    <mergeCell ref="O48:W49"/>
    <mergeCell ref="X48:AF49"/>
    <mergeCell ref="AE69:AJ69"/>
    <mergeCell ref="K50:N51"/>
    <mergeCell ref="O50:W51"/>
    <mergeCell ref="X50:AF51"/>
    <mergeCell ref="J53:AJ54"/>
    <mergeCell ref="J57:R58"/>
    <mergeCell ref="J59:R60"/>
    <mergeCell ref="T61:Z63"/>
    <mergeCell ref="T64:Z65"/>
    <mergeCell ref="T66:Z67"/>
    <mergeCell ref="M69:R69"/>
    <mergeCell ref="V69:AA69"/>
    <mergeCell ref="M72:R72"/>
    <mergeCell ref="J75:AJ76"/>
    <mergeCell ref="M200:AG201"/>
    <mergeCell ref="M70:R70"/>
    <mergeCell ref="V70:AA70"/>
    <mergeCell ref="AE70:AJ70"/>
    <mergeCell ref="M71:R71"/>
    <mergeCell ref="V71:AA71"/>
    <mergeCell ref="AE71:AJ71"/>
  </mergeCells>
  <hyperlinks>
    <hyperlink ref="B202" r:id="rId1" display="NIPSCO.Savings@LMCO.com" xr:uid="{0FB25781-5816-45B4-A180-78B05B46240F}"/>
    <hyperlink ref="AU54" r:id="rId2" xr:uid="{B0FA9991-E137-4B25-B3CD-B79D5EE0B4DB}"/>
  </hyperlinks>
  <pageMargins left="0.2" right="0.2" top="0.2" bottom="0.2" header="0" footer="0"/>
  <pageSetup scale="8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0FFF-B7D7-4A2B-90A7-A1D3F267B407}">
  <sheetPr codeName="Sheet13">
    <pageSetUpPr fitToPage="1"/>
  </sheetPr>
  <dimension ref="A1:AY205"/>
  <sheetViews>
    <sheetView showGridLines="0" showRowColHeaders="0" zoomScale="85" zoomScaleNormal="85" workbookViewId="0">
      <selection activeCell="C6" sqref="C6"/>
    </sheetView>
  </sheetViews>
  <sheetFormatPr defaultColWidth="0" defaultRowHeight="15.95" customHeight="1" zeroHeight="1" x14ac:dyDescent="0.25"/>
  <cols>
    <col min="1" max="45" width="4.7109375" customWidth="1"/>
    <col min="46" max="46" width="9.140625" hidden="1" customWidth="1"/>
    <col min="47" max="47" width="10.42578125" hidden="1" customWidth="1"/>
    <col min="48" max="51" width="11.28515625" hidden="1" customWidth="1"/>
    <col min="52" max="16384" width="9.140625" hidden="1"/>
  </cols>
  <sheetData>
    <row r="1" spans="2:51" ht="15.95" customHeight="1" x14ac:dyDescent="0.3">
      <c r="Q1" s="536" t="e">
        <f>IF(OR(#REF!&lt;&gt;0,#REF!&lt;&gt;0,#REF!&lt;&gt;0,#REF!&lt;&gt;0,#REF!&lt;&gt;0),"P","")</f>
        <v>#REF!</v>
      </c>
      <c r="R1" s="536"/>
      <c r="U1" s="537" t="e">
        <f>IF(OR(#REF!&lt;&gt;0,#REF!&lt;&gt;0,#REF!&lt;&gt;0,#REF!&lt;&gt;0),"P","")</f>
        <v>#REF!</v>
      </c>
      <c r="V1" s="537"/>
      <c r="Y1" s="537" t="e">
        <f>IF(OR(#REF!&lt;&gt;0,#REF!&lt;&gt;0,#REF!&lt;&gt;0,#REF!&lt;&gt;0,#REF!&lt;&gt;0,#REF!&lt;&gt;0,#REF!&lt;&gt;0),"P","")</f>
        <v>#REF!</v>
      </c>
      <c r="Z1" s="537"/>
      <c r="AH1" s="559" t="s">
        <v>370</v>
      </c>
      <c r="AI1" s="560"/>
      <c r="AJ1" s="560"/>
      <c r="AK1" s="560"/>
      <c r="AL1" s="561" t="s">
        <v>723</v>
      </c>
      <c r="AM1" s="561"/>
      <c r="AN1" s="561"/>
      <c r="AO1" s="561"/>
      <c r="AP1" s="561"/>
      <c r="AQ1" s="553" t="s">
        <v>373</v>
      </c>
      <c r="AR1" s="554"/>
    </row>
    <row r="2" spans="2:51" ht="15.95" customHeight="1" x14ac:dyDescent="0.25">
      <c r="AH2" s="547" t="str">
        <f>INCENSTATUS</f>
        <v>---</v>
      </c>
      <c r="AI2" s="548"/>
      <c r="AJ2" s="548"/>
      <c r="AK2" s="548"/>
      <c r="AL2" s="551" t="str">
        <f ca="1">PROJSTATUS</f>
        <v>Enter Measures</v>
      </c>
      <c r="AM2" s="551"/>
      <c r="AN2" s="551"/>
      <c r="AO2" s="551"/>
      <c r="AP2" s="551"/>
      <c r="AQ2" s="555">
        <f ca="1">PROGRESSSTATUS</f>
        <v>0</v>
      </c>
      <c r="AR2" s="556"/>
    </row>
    <row r="3" spans="2:51" ht="15.95" customHeight="1" x14ac:dyDescent="0.25">
      <c r="AH3" s="549"/>
      <c r="AI3" s="550"/>
      <c r="AJ3" s="550"/>
      <c r="AK3" s="550"/>
      <c r="AL3" s="552"/>
      <c r="AM3" s="552"/>
      <c r="AN3" s="552"/>
      <c r="AO3" s="552"/>
      <c r="AP3" s="552"/>
      <c r="AQ3" s="557"/>
      <c r="AR3" s="558"/>
    </row>
    <row r="4" spans="2:51" ht="15.95" customHeight="1" x14ac:dyDescent="0.25"/>
    <row r="5" spans="2:51" ht="15.95" customHeight="1" x14ac:dyDescent="0.25"/>
    <row r="6" spans="2:51" ht="15.95" customHeight="1" x14ac:dyDescent="0.25">
      <c r="C6" s="32"/>
    </row>
    <row r="7" spans="2:51" ht="15.95" customHeight="1" x14ac:dyDescent="0.25"/>
    <row r="8" spans="2:51" ht="15.95" customHeight="1" x14ac:dyDescent="0.25"/>
    <row r="9" spans="2:51" ht="15.95" customHeight="1" x14ac:dyDescent="0.25">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51" ht="15.95" customHeight="1" x14ac:dyDescent="0.3">
      <c r="B10" s="59"/>
      <c r="C10" s="59"/>
      <c r="D10" s="59"/>
      <c r="E10" s="59"/>
      <c r="G10" s="282"/>
      <c r="H10" s="282"/>
      <c r="I10" s="282"/>
      <c r="J10" s="282"/>
      <c r="K10" s="538" t="s">
        <v>1548</v>
      </c>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282"/>
      <c r="AK10" s="282"/>
      <c r="AL10" s="282"/>
      <c r="AM10" s="282"/>
      <c r="AN10" s="282"/>
      <c r="AO10" s="59"/>
      <c r="AP10" s="59"/>
      <c r="AQ10" s="59"/>
      <c r="AR10" s="59"/>
    </row>
    <row r="11" spans="2:51" ht="15.95" customHeight="1" x14ac:dyDescent="0.25">
      <c r="B11" s="59"/>
      <c r="C11" s="59"/>
      <c r="D11" s="59"/>
      <c r="E11" s="59"/>
      <c r="H11" s="230"/>
      <c r="I11" s="230"/>
      <c r="J11" s="230"/>
      <c r="K11" s="230"/>
      <c r="L11" s="230"/>
      <c r="M11" s="539" t="s">
        <v>1556</v>
      </c>
      <c r="N11" s="539"/>
      <c r="O11" s="539"/>
      <c r="P11" s="539"/>
      <c r="Q11" s="539"/>
      <c r="R11" s="539"/>
      <c r="S11" s="539"/>
      <c r="T11" s="539"/>
      <c r="U11" s="539"/>
      <c r="V11" s="539"/>
      <c r="W11" s="539"/>
      <c r="X11" s="539"/>
      <c r="Y11" s="539"/>
      <c r="Z11" s="539"/>
      <c r="AA11" s="539"/>
      <c r="AB11" s="539"/>
      <c r="AC11" s="539"/>
      <c r="AD11" s="539"/>
      <c r="AE11" s="539"/>
      <c r="AF11" s="539"/>
      <c r="AG11" s="539"/>
      <c r="AH11" s="230"/>
      <c r="AI11" s="230"/>
      <c r="AJ11" s="230"/>
      <c r="AK11" s="230"/>
      <c r="AL11" s="230"/>
      <c r="AM11" s="230"/>
      <c r="AN11" s="230"/>
      <c r="AO11" s="231"/>
      <c r="AP11" s="231"/>
      <c r="AQ11" s="59"/>
      <c r="AR11" s="59"/>
      <c r="AU11" t="s">
        <v>1541</v>
      </c>
      <c r="AV11" t="s">
        <v>1542</v>
      </c>
      <c r="AW11" t="s">
        <v>1543</v>
      </c>
      <c r="AX11" t="s">
        <v>1544</v>
      </c>
      <c r="AY11" t="s">
        <v>1545</v>
      </c>
    </row>
    <row r="12" spans="2:51" ht="15.95" customHeight="1" x14ac:dyDescent="0.25">
      <c r="B12" s="59"/>
      <c r="C12" s="59"/>
      <c r="D12" s="59"/>
      <c r="E12" s="59"/>
      <c r="F12" s="230"/>
      <c r="G12" s="230"/>
      <c r="H12" s="230"/>
      <c r="I12" s="230"/>
      <c r="J12" s="230"/>
      <c r="K12" s="230"/>
      <c r="L12" s="230"/>
      <c r="M12" s="539"/>
      <c r="N12" s="539"/>
      <c r="O12" s="539"/>
      <c r="P12" s="539"/>
      <c r="Q12" s="539"/>
      <c r="R12" s="539"/>
      <c r="S12" s="539"/>
      <c r="T12" s="539"/>
      <c r="U12" s="539"/>
      <c r="V12" s="539"/>
      <c r="W12" s="539"/>
      <c r="X12" s="539"/>
      <c r="Y12" s="539"/>
      <c r="Z12" s="539"/>
      <c r="AA12" s="539"/>
      <c r="AB12" s="539"/>
      <c r="AC12" s="539"/>
      <c r="AD12" s="539"/>
      <c r="AE12" s="539"/>
      <c r="AF12" s="539"/>
      <c r="AG12" s="539"/>
      <c r="AH12" s="230"/>
      <c r="AI12" s="230"/>
      <c r="AJ12" s="230"/>
      <c r="AK12" s="230"/>
      <c r="AL12" s="230"/>
      <c r="AM12" s="230"/>
      <c r="AN12" s="230"/>
      <c r="AO12" s="231"/>
      <c r="AP12" s="231"/>
      <c r="AQ12" s="59"/>
      <c r="AR12" s="59"/>
      <c r="AT12" t="s">
        <v>1539</v>
      </c>
      <c r="AU12" s="285">
        <f>'M06-S01'!$X$46</f>
        <v>0</v>
      </c>
      <c r="AV12" s="285">
        <f>'M06-S01'!$X$46</f>
        <v>0</v>
      </c>
      <c r="AW12" s="285">
        <f>'M06-S01'!$X$46</f>
        <v>0</v>
      </c>
      <c r="AX12" s="285">
        <f>'M06-S01'!$X$46</f>
        <v>0</v>
      </c>
      <c r="AY12" s="285">
        <f>'M06-S01'!$X$46</f>
        <v>0</v>
      </c>
    </row>
    <row r="13" spans="2:51" ht="15.95" customHeight="1" thickBot="1" x14ac:dyDescent="0.3">
      <c r="B13" s="59"/>
      <c r="C13" s="59"/>
      <c r="D13" s="59"/>
      <c r="E13" s="59"/>
      <c r="F13" s="230"/>
      <c r="G13" s="230"/>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30"/>
      <c r="AN13" s="230"/>
      <c r="AO13" s="231"/>
      <c r="AP13" s="231"/>
      <c r="AQ13" s="59"/>
      <c r="AR13" s="59"/>
      <c r="AT13" t="s">
        <v>1540</v>
      </c>
      <c r="AU13" s="285">
        <f>'M06-S01'!$AD$30/5</f>
        <v>0</v>
      </c>
      <c r="AV13" s="285">
        <f>AU13+('M06-S01'!$AD$30/5)</f>
        <v>0</v>
      </c>
      <c r="AW13" s="285">
        <f>AV13+('M06-S01'!$AD$30/5)</f>
        <v>0</v>
      </c>
      <c r="AX13" s="285">
        <f>AW13+('M06-S01'!$AD$30/5)</f>
        <v>0</v>
      </c>
      <c r="AY13" s="285">
        <f>AX13+('M06-S01'!$AD$30/5)</f>
        <v>0</v>
      </c>
    </row>
    <row r="14" spans="2:51" ht="15.95" customHeight="1" thickBot="1" x14ac:dyDescent="0.3">
      <c r="B14" s="59"/>
      <c r="C14" s="59"/>
      <c r="D14" s="517" t="s">
        <v>1557</v>
      </c>
      <c r="E14" s="517"/>
      <c r="F14" s="517"/>
      <c r="G14" s="517"/>
      <c r="H14" s="517"/>
      <c r="I14" s="517"/>
      <c r="J14" s="517"/>
      <c r="K14" s="517"/>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30"/>
      <c r="AN14" s="230"/>
      <c r="AO14" s="231"/>
      <c r="AP14" s="231"/>
      <c r="AQ14" s="59"/>
      <c r="AR14" s="59"/>
    </row>
    <row r="15" spans="2:51" ht="15.95" customHeight="1" thickBot="1" x14ac:dyDescent="0.3">
      <c r="B15" s="59"/>
      <c r="C15" s="59"/>
      <c r="D15" s="513">
        <f>COSTTOTALALL</f>
        <v>0</v>
      </c>
      <c r="E15" s="513"/>
      <c r="F15" s="513"/>
      <c r="G15" s="513"/>
      <c r="H15" s="513"/>
      <c r="I15" s="513"/>
      <c r="J15" s="513"/>
      <c r="K15" s="513"/>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30"/>
      <c r="AN15" s="230"/>
      <c r="AO15" s="231"/>
      <c r="AP15" s="231"/>
      <c r="AQ15" s="59"/>
      <c r="AR15" s="59"/>
    </row>
    <row r="16" spans="2:51" ht="15.95" customHeight="1" thickBot="1" x14ac:dyDescent="0.3">
      <c r="B16" s="59"/>
      <c r="C16" s="232"/>
      <c r="D16" s="513"/>
      <c r="E16" s="513"/>
      <c r="F16" s="513"/>
      <c r="G16" s="513"/>
      <c r="H16" s="513"/>
      <c r="I16" s="513"/>
      <c r="J16" s="513"/>
      <c r="K16" s="513"/>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2:44" ht="15.95" customHeight="1" thickBot="1" x14ac:dyDescent="0.3">
      <c r="B17" s="59"/>
      <c r="C17" s="59"/>
      <c r="D17" s="59"/>
      <c r="E17" s="59"/>
      <c r="F17" s="59"/>
      <c r="G17" s="59"/>
      <c r="H17" s="59"/>
      <c r="I17" s="59"/>
      <c r="J17" s="280"/>
      <c r="K17" s="281"/>
      <c r="L17" s="281"/>
      <c r="M17" s="281"/>
      <c r="N17" s="281"/>
      <c r="O17" s="281"/>
      <c r="P17" s="281"/>
      <c r="Q17" s="281"/>
      <c r="R17" s="281"/>
      <c r="S17" s="281"/>
      <c r="T17" s="281"/>
      <c r="U17" s="281"/>
      <c r="V17" s="281"/>
      <c r="W17" s="281"/>
      <c r="X17" s="281"/>
      <c r="Y17" s="281"/>
      <c r="Z17" s="281"/>
      <c r="AA17" s="281"/>
      <c r="AB17" s="281"/>
      <c r="AC17" s="253"/>
      <c r="AD17" s="253"/>
      <c r="AE17" s="59"/>
      <c r="AF17" s="59"/>
      <c r="AG17" s="59"/>
      <c r="AH17" s="59"/>
      <c r="AI17" s="59"/>
      <c r="AJ17" s="59"/>
      <c r="AK17" s="59"/>
      <c r="AL17" s="59"/>
      <c r="AM17" s="59"/>
      <c r="AN17" s="59"/>
      <c r="AO17" s="59"/>
      <c r="AP17" s="59"/>
      <c r="AQ17" s="59"/>
      <c r="AR17" s="59"/>
    </row>
    <row r="18" spans="2:44" ht="15.95" customHeight="1" thickBot="1" x14ac:dyDescent="0.3">
      <c r="B18" s="59"/>
      <c r="C18" s="234"/>
      <c r="D18" s="517" t="s">
        <v>1558</v>
      </c>
      <c r="E18" s="517"/>
      <c r="F18" s="517"/>
      <c r="G18" s="517"/>
      <c r="H18" s="517"/>
      <c r="I18" s="517"/>
      <c r="J18" s="517"/>
      <c r="K18" s="517"/>
      <c r="L18" s="281"/>
      <c r="M18" s="281"/>
      <c r="N18" s="281"/>
      <c r="O18" s="281"/>
      <c r="P18" s="281"/>
      <c r="Q18" s="281"/>
      <c r="R18" s="281"/>
      <c r="S18" s="281"/>
      <c r="T18" s="281"/>
      <c r="U18" s="281"/>
      <c r="V18" s="281"/>
      <c r="W18" s="281"/>
      <c r="X18" s="281"/>
      <c r="Y18" s="281"/>
      <c r="Z18" s="281"/>
      <c r="AA18" s="281"/>
      <c r="AB18" s="281"/>
      <c r="AC18" s="254"/>
      <c r="AD18" s="253"/>
      <c r="AE18" s="59"/>
      <c r="AF18" s="59"/>
      <c r="AG18" s="59"/>
      <c r="AH18" s="59"/>
      <c r="AI18" s="59"/>
      <c r="AJ18" s="59"/>
      <c r="AK18" s="59"/>
      <c r="AL18" s="59"/>
      <c r="AM18" s="59"/>
      <c r="AN18" s="59"/>
      <c r="AO18" s="59"/>
      <c r="AP18" s="59"/>
      <c r="AQ18" s="59"/>
      <c r="AR18" s="59"/>
    </row>
    <row r="19" spans="2:44" ht="15.95" customHeight="1" thickBot="1" x14ac:dyDescent="0.3">
      <c r="B19" s="59"/>
      <c r="C19" s="232"/>
      <c r="D19" s="513">
        <f>IFERROR(COSTTOTALALL-INCENSTATUS,0)</f>
        <v>0</v>
      </c>
      <c r="E19" s="513"/>
      <c r="F19" s="513"/>
      <c r="G19" s="513"/>
      <c r="H19" s="513"/>
      <c r="I19" s="513"/>
      <c r="J19" s="513"/>
      <c r="K19" s="513"/>
      <c r="L19" s="281"/>
      <c r="M19" s="281"/>
      <c r="N19" s="281"/>
      <c r="O19" s="281"/>
      <c r="P19" s="281"/>
      <c r="Q19" s="281"/>
      <c r="R19" s="281"/>
      <c r="S19" s="281"/>
      <c r="T19" s="281"/>
      <c r="U19" s="281"/>
      <c r="V19" s="281"/>
      <c r="W19" s="281"/>
      <c r="X19" s="281"/>
      <c r="Y19" s="281"/>
      <c r="Z19" s="281"/>
      <c r="AA19" s="281"/>
      <c r="AB19" s="281"/>
      <c r="AC19" s="254"/>
      <c r="AD19" s="253"/>
      <c r="AE19" s="59"/>
      <c r="AF19" s="59"/>
      <c r="AG19" s="59"/>
      <c r="AH19" s="59"/>
      <c r="AI19" s="59"/>
      <c r="AJ19" s="59"/>
      <c r="AK19" s="59"/>
      <c r="AL19" s="59"/>
      <c r="AM19" s="59"/>
      <c r="AN19" s="59"/>
      <c r="AO19" s="59"/>
      <c r="AP19" s="59"/>
      <c r="AQ19" s="59"/>
      <c r="AR19" s="59"/>
    </row>
    <row r="20" spans="2:44" ht="15.95" customHeight="1" thickBot="1" x14ac:dyDescent="0.3">
      <c r="B20" s="59"/>
      <c r="C20" s="59"/>
      <c r="D20" s="513"/>
      <c r="E20" s="513"/>
      <c r="F20" s="513"/>
      <c r="G20" s="513"/>
      <c r="H20" s="513"/>
      <c r="I20" s="513"/>
      <c r="J20" s="513"/>
      <c r="K20" s="513"/>
      <c r="L20" s="281"/>
      <c r="M20" s="281"/>
      <c r="N20" s="281"/>
      <c r="O20" s="281"/>
      <c r="P20" s="281"/>
      <c r="Q20" s="281"/>
      <c r="R20" s="281"/>
      <c r="S20" s="281"/>
      <c r="T20" s="281"/>
      <c r="U20" s="281"/>
      <c r="V20" s="281"/>
      <c r="W20" s="281"/>
      <c r="X20" s="281"/>
      <c r="Y20" s="281"/>
      <c r="Z20" s="281"/>
      <c r="AA20" s="281"/>
      <c r="AB20" s="281"/>
      <c r="AC20" s="253"/>
      <c r="AD20" s="253"/>
      <c r="AE20" s="59"/>
      <c r="AF20" s="59"/>
      <c r="AG20" s="59"/>
      <c r="AH20" s="59"/>
      <c r="AI20" s="59"/>
      <c r="AJ20" s="59"/>
      <c r="AK20" s="59"/>
      <c r="AL20" s="59"/>
      <c r="AM20" s="59"/>
      <c r="AN20" s="59"/>
      <c r="AO20" s="59"/>
      <c r="AP20" s="59"/>
      <c r="AQ20" s="59"/>
      <c r="AR20" s="59"/>
    </row>
    <row r="21" spans="2:44" ht="15.95" customHeight="1" thickBot="1" x14ac:dyDescent="0.45">
      <c r="B21" s="59"/>
      <c r="C21" s="232"/>
      <c r="D21" s="232"/>
      <c r="E21" s="232"/>
      <c r="F21" s="232"/>
      <c r="G21" s="232"/>
      <c r="H21" s="232"/>
      <c r="I21" s="59"/>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59"/>
      <c r="AL21" s="59"/>
      <c r="AM21" s="59"/>
      <c r="AN21" s="59"/>
      <c r="AO21" s="59"/>
      <c r="AP21" s="59"/>
      <c r="AQ21" s="59"/>
      <c r="AR21" s="59"/>
    </row>
    <row r="22" spans="2:44" ht="15.95" customHeight="1" thickBot="1" x14ac:dyDescent="0.45">
      <c r="B22" s="59"/>
      <c r="C22" s="59"/>
      <c r="D22" s="517" t="s">
        <v>1546</v>
      </c>
      <c r="E22" s="517"/>
      <c r="F22" s="517"/>
      <c r="G22" s="517"/>
      <c r="H22" s="517"/>
      <c r="I22" s="517"/>
      <c r="J22" s="517"/>
      <c r="K22" s="51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59"/>
      <c r="AL22" s="59"/>
      <c r="AM22" s="59"/>
      <c r="AN22" s="59"/>
      <c r="AO22" s="59"/>
      <c r="AP22" s="59"/>
      <c r="AQ22" s="59"/>
      <c r="AR22" s="59"/>
    </row>
    <row r="23" spans="2:44" ht="15.95" customHeight="1" thickBot="1" x14ac:dyDescent="0.3">
      <c r="B23" s="59"/>
      <c r="C23" s="232"/>
      <c r="D23" s="513" t="str">
        <f>INCENSTATUS</f>
        <v>---</v>
      </c>
      <c r="E23" s="513"/>
      <c r="F23" s="513"/>
      <c r="G23" s="513"/>
      <c r="H23" s="513"/>
      <c r="I23" s="513"/>
      <c r="J23" s="513"/>
      <c r="K23" s="513"/>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59"/>
      <c r="AL23" s="59"/>
      <c r="AM23" s="59"/>
      <c r="AN23" s="59"/>
      <c r="AO23" s="59"/>
      <c r="AP23" s="59"/>
      <c r="AQ23" s="59"/>
      <c r="AR23" s="59"/>
    </row>
    <row r="24" spans="2:44" ht="15.95" customHeight="1" thickBot="1" x14ac:dyDescent="0.3">
      <c r="B24" s="59"/>
      <c r="C24" s="59"/>
      <c r="D24" s="513"/>
      <c r="E24" s="513"/>
      <c r="F24" s="513"/>
      <c r="G24" s="513"/>
      <c r="H24" s="513"/>
      <c r="I24" s="513"/>
      <c r="J24" s="513"/>
      <c r="K24" s="513"/>
      <c r="L24" s="59"/>
      <c r="O24" s="59"/>
      <c r="P24" s="59"/>
      <c r="Q24" s="59"/>
      <c r="R24" s="59"/>
      <c r="S24" s="59"/>
      <c r="T24" s="59"/>
      <c r="U24" s="234"/>
      <c r="V24" s="234"/>
      <c r="W24" s="59"/>
      <c r="X24" s="236"/>
      <c r="Y24" s="59"/>
      <c r="Z24" s="59"/>
      <c r="AC24" s="59"/>
      <c r="AD24" s="59"/>
      <c r="AE24" s="59"/>
      <c r="AF24" s="59"/>
      <c r="AG24" s="59"/>
      <c r="AH24" s="59"/>
      <c r="AI24" s="234"/>
      <c r="AJ24" s="234"/>
      <c r="AK24" s="59"/>
      <c r="AL24" s="59"/>
      <c r="AM24" s="59"/>
      <c r="AN24" s="59"/>
      <c r="AO24" s="59"/>
      <c r="AP24" s="59"/>
      <c r="AQ24" s="59"/>
      <c r="AR24" s="59"/>
    </row>
    <row r="25" spans="2:44" ht="15.95" customHeight="1" thickBot="1" x14ac:dyDescent="0.3">
      <c r="B25" s="59"/>
      <c r="C25" s="232"/>
      <c r="D25" s="232"/>
      <c r="E25" s="232"/>
      <c r="F25" s="232"/>
      <c r="G25" s="232"/>
      <c r="H25" s="232"/>
      <c r="I25" s="59"/>
      <c r="J25" s="236"/>
      <c r="K25" s="232"/>
      <c r="L25" s="232"/>
      <c r="O25" s="59"/>
      <c r="P25" s="59"/>
      <c r="Q25" s="59"/>
      <c r="R25" s="59"/>
      <c r="S25" s="59"/>
      <c r="T25" s="59"/>
      <c r="U25" s="237"/>
      <c r="V25" s="237"/>
      <c r="W25" s="59"/>
      <c r="X25" s="236"/>
      <c r="AC25" s="279"/>
      <c r="AD25" s="279"/>
      <c r="AE25" s="279"/>
      <c r="AF25" s="279"/>
      <c r="AG25" s="279"/>
      <c r="AH25" s="279"/>
      <c r="AK25" s="59"/>
      <c r="AL25" s="59"/>
      <c r="AM25" s="59"/>
      <c r="AN25" s="59"/>
      <c r="AO25" s="59"/>
      <c r="AP25" s="59"/>
      <c r="AQ25" s="59"/>
      <c r="AR25" s="59"/>
    </row>
    <row r="26" spans="2:44" ht="15.95" customHeight="1" thickBot="1" x14ac:dyDescent="0.3">
      <c r="B26" s="59"/>
      <c r="C26" s="59"/>
      <c r="D26" s="517" t="s">
        <v>1547</v>
      </c>
      <c r="E26" s="517"/>
      <c r="F26" s="517"/>
      <c r="G26" s="517"/>
      <c r="H26" s="517"/>
      <c r="I26" s="517"/>
      <c r="J26" s="517"/>
      <c r="K26" s="517"/>
      <c r="L26" s="59"/>
      <c r="O26" s="59"/>
      <c r="P26" s="59"/>
      <c r="Q26" s="59"/>
      <c r="R26" s="59"/>
      <c r="S26" s="59"/>
      <c r="T26" s="59"/>
      <c r="U26" s="276"/>
      <c r="V26" s="276"/>
      <c r="W26" s="59"/>
      <c r="X26" s="236"/>
      <c r="Y26" s="232"/>
      <c r="Z26" s="232"/>
      <c r="AC26" s="59"/>
      <c r="AD26" s="59"/>
      <c r="AE26" s="59"/>
      <c r="AF26" s="59"/>
      <c r="AG26" s="59"/>
      <c r="AH26" s="59"/>
      <c r="AI26" s="237"/>
      <c r="AJ26" s="237"/>
      <c r="AK26" s="59"/>
      <c r="AL26" s="59"/>
      <c r="AM26" s="59"/>
      <c r="AN26" s="59"/>
      <c r="AO26" s="59"/>
      <c r="AP26" s="59"/>
      <c r="AQ26" s="59"/>
      <c r="AR26" s="59"/>
    </row>
    <row r="27" spans="2:44" ht="15.95" customHeight="1" thickBot="1" x14ac:dyDescent="0.3">
      <c r="B27" s="59"/>
      <c r="C27" s="232"/>
      <c r="D27" s="513">
        <f>IFERROR(KWHTOTALALL*M02S02F35,0)</f>
        <v>0</v>
      </c>
      <c r="E27" s="513"/>
      <c r="F27" s="513"/>
      <c r="G27" s="513"/>
      <c r="H27" s="513"/>
      <c r="I27" s="513"/>
      <c r="J27" s="513"/>
      <c r="K27" s="513"/>
      <c r="L27" s="232"/>
      <c r="O27" s="239"/>
      <c r="P27" s="239"/>
      <c r="Q27" s="239"/>
      <c r="R27" s="239"/>
      <c r="S27" s="239"/>
      <c r="T27" s="239"/>
      <c r="U27" s="234"/>
      <c r="V27" s="234"/>
      <c r="W27" s="59"/>
      <c r="X27" s="236"/>
      <c r="Y27" s="59"/>
      <c r="Z27" s="59"/>
      <c r="AC27" s="59"/>
      <c r="AD27" s="59"/>
      <c r="AE27" s="59"/>
      <c r="AF27" s="59"/>
      <c r="AG27" s="59"/>
      <c r="AH27" s="59"/>
      <c r="AI27" s="276"/>
      <c r="AJ27" s="276"/>
      <c r="AK27" s="59"/>
      <c r="AL27" s="59"/>
      <c r="AM27" s="59"/>
      <c r="AN27" s="59"/>
      <c r="AO27" s="59"/>
      <c r="AP27" s="59"/>
      <c r="AQ27" s="59"/>
      <c r="AR27" s="59"/>
    </row>
    <row r="28" spans="2:44" ht="15.95" customHeight="1" thickBot="1" x14ac:dyDescent="0.3">
      <c r="B28" s="59"/>
      <c r="C28" s="59"/>
      <c r="D28" s="513"/>
      <c r="E28" s="513"/>
      <c r="F28" s="513"/>
      <c r="G28" s="513"/>
      <c r="H28" s="513"/>
      <c r="I28" s="513"/>
      <c r="J28" s="513"/>
      <c r="K28" s="513"/>
      <c r="L28" s="59"/>
      <c r="O28" s="59"/>
      <c r="P28" s="59"/>
      <c r="Q28" s="59"/>
      <c r="R28" s="59"/>
      <c r="S28" s="59"/>
      <c r="T28" s="59"/>
      <c r="U28" s="238"/>
      <c r="V28" s="238"/>
      <c r="W28" s="59"/>
      <c r="X28" s="236"/>
      <c r="Y28" s="232"/>
      <c r="Z28" s="232"/>
      <c r="AC28" s="239"/>
      <c r="AD28" s="239"/>
      <c r="AE28" s="239"/>
      <c r="AF28" s="239"/>
      <c r="AG28" s="239"/>
      <c r="AH28" s="239"/>
      <c r="AI28" s="234"/>
      <c r="AJ28" s="234"/>
      <c r="AK28" s="59"/>
      <c r="AL28" s="59"/>
      <c r="AM28" s="59"/>
      <c r="AN28" s="59"/>
      <c r="AO28" s="59"/>
      <c r="AP28" s="59"/>
      <c r="AQ28" s="59"/>
      <c r="AR28" s="59"/>
    </row>
    <row r="29" spans="2:44" ht="15.95" customHeight="1" thickBot="1" x14ac:dyDescent="0.3">
      <c r="B29" s="59"/>
      <c r="C29" s="232"/>
      <c r="D29" s="232"/>
      <c r="E29" s="232"/>
      <c r="F29" s="232"/>
      <c r="G29" s="232"/>
      <c r="H29" s="232"/>
      <c r="I29" s="59"/>
      <c r="J29" s="232"/>
      <c r="K29" s="232"/>
      <c r="L29" s="232"/>
      <c r="M29" s="232"/>
      <c r="N29" s="232"/>
      <c r="O29" s="232"/>
      <c r="P29" s="59"/>
      <c r="W29" s="59"/>
      <c r="X29" s="236"/>
      <c r="Y29" s="59"/>
      <c r="Z29" s="59"/>
      <c r="AC29" s="59"/>
      <c r="AD29" s="59"/>
      <c r="AE29" s="59"/>
      <c r="AF29" s="59"/>
      <c r="AG29" s="59"/>
      <c r="AH29" s="59"/>
      <c r="AI29" s="238"/>
      <c r="AJ29" s="238"/>
      <c r="AK29" s="59"/>
      <c r="AL29" s="59"/>
      <c r="AM29" s="59"/>
      <c r="AN29" s="59"/>
      <c r="AO29" s="59"/>
      <c r="AP29" s="59"/>
      <c r="AQ29" s="59"/>
      <c r="AR29" s="59"/>
    </row>
    <row r="30" spans="2:44" ht="15.95" customHeight="1" thickBot="1" x14ac:dyDescent="0.3">
      <c r="B30" s="59"/>
      <c r="C30" s="59"/>
      <c r="D30" s="517" t="s">
        <v>1559</v>
      </c>
      <c r="E30" s="517"/>
      <c r="F30" s="517"/>
      <c r="G30" s="517"/>
      <c r="H30" s="517"/>
      <c r="I30" s="517"/>
      <c r="J30" s="517"/>
      <c r="K30" s="517"/>
      <c r="AK30" s="59"/>
      <c r="AL30" s="59"/>
      <c r="AM30" s="59"/>
      <c r="AN30" s="59"/>
      <c r="AO30" s="59"/>
      <c r="AP30" s="59"/>
      <c r="AQ30" s="59"/>
      <c r="AR30" s="59"/>
    </row>
    <row r="31" spans="2:44" ht="15.95" customHeight="1" thickBot="1" x14ac:dyDescent="0.3">
      <c r="B31" s="59"/>
      <c r="C31" s="232"/>
      <c r="D31" s="546">
        <f>IFERROR('M06-S01'!Z38/'M06-S01'!X46,0)</f>
        <v>0</v>
      </c>
      <c r="E31" s="546"/>
      <c r="F31" s="546"/>
      <c r="G31" s="546"/>
      <c r="H31" s="546"/>
      <c r="I31" s="546"/>
      <c r="J31" s="546"/>
      <c r="K31" s="546"/>
      <c r="AK31" s="59"/>
      <c r="AL31" s="59"/>
      <c r="AM31" s="59"/>
      <c r="AN31" s="59"/>
      <c r="AO31" s="59"/>
      <c r="AP31" s="59"/>
      <c r="AQ31" s="59"/>
      <c r="AR31" s="59"/>
    </row>
    <row r="32" spans="2:44" ht="15.95" customHeight="1" thickBot="1" x14ac:dyDescent="0.3">
      <c r="B32" s="59"/>
      <c r="C32" s="239"/>
      <c r="D32" s="546"/>
      <c r="E32" s="546"/>
      <c r="F32" s="546"/>
      <c r="G32" s="546"/>
      <c r="H32" s="546"/>
      <c r="I32" s="546"/>
      <c r="J32" s="546"/>
      <c r="K32" s="546"/>
      <c r="L32" s="275"/>
      <c r="M32" s="275"/>
      <c r="N32" s="275"/>
      <c r="O32" s="275"/>
      <c r="P32" s="275"/>
      <c r="Q32" s="275"/>
      <c r="R32" s="275"/>
      <c r="S32" s="275"/>
      <c r="T32" s="275"/>
      <c r="U32" s="275"/>
      <c r="V32" s="275"/>
      <c r="W32" s="275"/>
      <c r="X32" s="275"/>
      <c r="Y32" s="275"/>
      <c r="Z32" s="275"/>
      <c r="AA32" s="275"/>
      <c r="AB32" s="275"/>
      <c r="AC32" s="275"/>
      <c r="AD32" s="269"/>
      <c r="AE32" s="275"/>
      <c r="AF32" s="275"/>
      <c r="AG32" s="275"/>
      <c r="AH32" s="275"/>
      <c r="AI32" s="275"/>
      <c r="AJ32" s="275"/>
      <c r="AK32" s="59"/>
      <c r="AL32" s="59"/>
      <c r="AM32" s="59"/>
      <c r="AN32" s="59"/>
      <c r="AO32" s="59"/>
      <c r="AP32" s="59"/>
      <c r="AQ32" s="59"/>
      <c r="AR32" s="59"/>
    </row>
    <row r="33" spans="2:44" ht="15.95" customHeight="1" thickBot="1" x14ac:dyDescent="0.3">
      <c r="B33" s="59"/>
      <c r="C33" s="232"/>
      <c r="D33" s="232"/>
      <c r="E33" s="232"/>
      <c r="F33" s="232"/>
      <c r="G33" s="232"/>
      <c r="H33" s="232"/>
      <c r="I33" s="59"/>
      <c r="J33" s="234"/>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59"/>
      <c r="AL33" s="59"/>
      <c r="AM33" s="59"/>
      <c r="AN33" s="59"/>
      <c r="AO33" s="59"/>
      <c r="AP33" s="59"/>
      <c r="AQ33" s="59"/>
      <c r="AR33" s="59"/>
    </row>
    <row r="34" spans="2:44" ht="15.95" customHeight="1" x14ac:dyDescent="0.25">
      <c r="B34" s="59"/>
      <c r="C34" s="122"/>
      <c r="D34" s="540" t="s">
        <v>1560</v>
      </c>
      <c r="E34" s="541"/>
      <c r="F34" s="541"/>
      <c r="G34" s="541"/>
      <c r="H34" s="541"/>
      <c r="I34" s="541"/>
      <c r="J34" s="541"/>
      <c r="K34" s="542"/>
      <c r="AK34" s="59"/>
      <c r="AL34" s="234"/>
      <c r="AM34" s="234"/>
      <c r="AN34" s="234"/>
      <c r="AO34" s="234"/>
      <c r="AP34" s="234"/>
      <c r="AQ34" s="234"/>
      <c r="AR34" s="59"/>
    </row>
    <row r="35" spans="2:44" ht="15.95" customHeight="1" thickBot="1" x14ac:dyDescent="0.3">
      <c r="B35" s="59"/>
      <c r="D35" s="543"/>
      <c r="E35" s="544"/>
      <c r="F35" s="544"/>
      <c r="G35" s="544"/>
      <c r="H35" s="544"/>
      <c r="I35" s="544"/>
      <c r="J35" s="544"/>
      <c r="K35" s="545"/>
      <c r="L35" s="59"/>
      <c r="M35" s="59"/>
      <c r="N35" s="59"/>
      <c r="O35" s="59"/>
      <c r="P35" s="59"/>
      <c r="W35" s="59"/>
      <c r="X35" s="59"/>
      <c r="Y35" s="59"/>
      <c r="Z35" s="59"/>
      <c r="AA35" s="59"/>
      <c r="AB35" s="59"/>
      <c r="AC35" s="59"/>
      <c r="AD35" s="59"/>
      <c r="AE35" s="59"/>
      <c r="AF35" s="59"/>
      <c r="AG35" s="59"/>
      <c r="AH35" s="59"/>
      <c r="AI35" s="59"/>
      <c r="AJ35" s="59"/>
      <c r="AK35" s="59"/>
      <c r="AL35" s="237"/>
      <c r="AM35" s="237"/>
      <c r="AN35" s="237"/>
      <c r="AO35" s="237"/>
      <c r="AP35" s="237"/>
      <c r="AQ35" s="237"/>
      <c r="AR35" s="59"/>
    </row>
    <row r="36" spans="2:44" ht="15.95" customHeight="1" thickBot="1" x14ac:dyDescent="0.45">
      <c r="B36" s="59"/>
      <c r="D36" s="503">
        <f>IFERROR('M06-S01'!X46/'M06-S01'!Z38,0)</f>
        <v>0</v>
      </c>
      <c r="E36" s="503"/>
      <c r="F36" s="503"/>
      <c r="G36" s="503"/>
      <c r="H36" s="503"/>
      <c r="I36" s="503"/>
      <c r="J36" s="503"/>
      <c r="K36" s="503"/>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59"/>
      <c r="AL36" s="59"/>
      <c r="AM36" s="59"/>
      <c r="AN36" s="59"/>
      <c r="AO36" s="59"/>
      <c r="AP36" s="59"/>
      <c r="AQ36" s="59"/>
      <c r="AR36" s="59"/>
    </row>
    <row r="37" spans="2:44" ht="15.95" customHeight="1" thickBot="1" x14ac:dyDescent="0.45">
      <c r="B37" s="59"/>
      <c r="D37" s="503"/>
      <c r="E37" s="503"/>
      <c r="F37" s="503"/>
      <c r="G37" s="503"/>
      <c r="H37" s="503"/>
      <c r="I37" s="503"/>
      <c r="J37" s="503"/>
      <c r="K37" s="503"/>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59"/>
      <c r="AL37" s="59"/>
      <c r="AM37" s="59"/>
      <c r="AN37" s="59"/>
      <c r="AO37" s="59"/>
      <c r="AP37" s="59"/>
      <c r="AQ37" s="59"/>
      <c r="AR37" s="59"/>
    </row>
    <row r="38" spans="2:44" ht="15.95" customHeight="1" x14ac:dyDescent="0.25">
      <c r="B38" s="59"/>
      <c r="L38" s="229"/>
      <c r="M38" s="229"/>
      <c r="N38" s="229"/>
      <c r="O38" s="229"/>
      <c r="P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2:44" ht="15.95" hidden="1" customHeight="1" x14ac:dyDescent="0.25">
      <c r="B39" s="59"/>
      <c r="L39" s="229"/>
      <c r="M39" s="229"/>
      <c r="N39" s="229"/>
      <c r="O39" s="229"/>
      <c r="P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2:44" ht="15.95" hidden="1" customHeight="1" x14ac:dyDescent="0.35">
      <c r="B40" s="59"/>
      <c r="I40" s="59"/>
      <c r="J40" s="229"/>
      <c r="K40" s="272"/>
      <c r="L40" s="272"/>
      <c r="M40" s="272"/>
      <c r="N40" s="272"/>
      <c r="O40" s="272"/>
      <c r="P40" s="272"/>
      <c r="Q40" s="272"/>
      <c r="R40" s="272"/>
      <c r="S40" s="272"/>
      <c r="T40" s="272"/>
      <c r="W40" s="59"/>
      <c r="X40" s="59"/>
      <c r="Y40" s="59"/>
      <c r="Z40" s="272"/>
      <c r="AA40" s="272"/>
      <c r="AB40" s="272"/>
      <c r="AC40" s="272"/>
      <c r="AD40" s="272"/>
      <c r="AE40" s="272"/>
      <c r="AF40" s="272"/>
      <c r="AG40" s="272"/>
      <c r="AH40" s="272"/>
      <c r="AI40" s="272"/>
      <c r="AJ40" s="59"/>
      <c r="AK40" s="59"/>
      <c r="AL40" s="59"/>
      <c r="AM40" s="59"/>
      <c r="AN40" s="59"/>
      <c r="AO40" s="59"/>
      <c r="AP40" s="59"/>
      <c r="AQ40" s="59"/>
      <c r="AR40" s="59"/>
    </row>
    <row r="41" spans="2:44" ht="15.95" hidden="1" customHeight="1" x14ac:dyDescent="0.35">
      <c r="B41" s="59"/>
      <c r="I41" s="59"/>
      <c r="J41" s="229"/>
      <c r="K41" s="272"/>
      <c r="L41" s="272"/>
      <c r="M41" s="272"/>
      <c r="N41" s="272"/>
      <c r="O41" s="272"/>
      <c r="P41" s="272"/>
      <c r="Q41" s="272"/>
      <c r="R41" s="272"/>
      <c r="S41" s="272"/>
      <c r="T41" s="272"/>
      <c r="W41" s="59"/>
      <c r="X41" s="59"/>
      <c r="Y41" s="59"/>
      <c r="Z41" s="272"/>
      <c r="AA41" s="272"/>
      <c r="AB41" s="272"/>
      <c r="AC41" s="272"/>
      <c r="AD41" s="272"/>
      <c r="AE41" s="272"/>
      <c r="AF41" s="272"/>
      <c r="AG41" s="272"/>
      <c r="AH41" s="272"/>
      <c r="AI41" s="272"/>
      <c r="AJ41" s="59"/>
      <c r="AK41" s="59"/>
      <c r="AL41" s="59"/>
      <c r="AM41" s="59"/>
      <c r="AN41" s="59"/>
      <c r="AO41" s="59"/>
      <c r="AP41" s="59"/>
      <c r="AQ41" s="59"/>
      <c r="AR41" s="59"/>
    </row>
    <row r="42" spans="2:44" ht="15.95" hidden="1" customHeight="1" x14ac:dyDescent="0.25">
      <c r="B42" s="59"/>
      <c r="I42" s="59"/>
      <c r="J42" s="229"/>
      <c r="K42" s="273"/>
      <c r="L42" s="273"/>
      <c r="M42" s="273"/>
      <c r="N42" s="273"/>
      <c r="O42" s="273"/>
      <c r="P42" s="273"/>
      <c r="Q42" s="273"/>
      <c r="R42" s="273"/>
      <c r="S42" s="273"/>
      <c r="T42" s="273"/>
      <c r="W42" s="59"/>
      <c r="X42" s="59"/>
      <c r="Y42" s="59"/>
      <c r="Z42" s="273"/>
      <c r="AA42" s="273"/>
      <c r="AB42" s="273"/>
      <c r="AC42" s="273"/>
      <c r="AD42" s="273"/>
      <c r="AE42" s="273"/>
      <c r="AF42" s="273"/>
      <c r="AG42" s="273"/>
      <c r="AH42" s="273"/>
      <c r="AI42" s="273"/>
      <c r="AJ42" s="59"/>
      <c r="AK42" s="59"/>
      <c r="AL42" s="59"/>
      <c r="AM42" s="59"/>
      <c r="AN42" s="59"/>
      <c r="AO42" s="59"/>
      <c r="AP42" s="59"/>
      <c r="AQ42" s="59"/>
      <c r="AR42" s="59"/>
    </row>
    <row r="43" spans="2:44" ht="15.95" hidden="1" customHeight="1" x14ac:dyDescent="0.25">
      <c r="B43" s="59"/>
      <c r="I43" s="59"/>
      <c r="J43" s="229"/>
      <c r="K43" s="273"/>
      <c r="L43" s="273"/>
      <c r="M43" s="273"/>
      <c r="N43" s="273"/>
      <c r="O43" s="273"/>
      <c r="P43" s="273"/>
      <c r="Q43" s="273"/>
      <c r="R43" s="273"/>
      <c r="S43" s="273"/>
      <c r="T43" s="273"/>
      <c r="W43" s="59"/>
      <c r="X43" s="59"/>
      <c r="Y43" s="59"/>
      <c r="Z43" s="273"/>
      <c r="AA43" s="273"/>
      <c r="AB43" s="273"/>
      <c r="AC43" s="273"/>
      <c r="AD43" s="273"/>
      <c r="AE43" s="273"/>
      <c r="AF43" s="273"/>
      <c r="AG43" s="273"/>
      <c r="AH43" s="273"/>
      <c r="AI43" s="273"/>
      <c r="AJ43" s="59"/>
      <c r="AK43" s="59"/>
      <c r="AL43" s="59"/>
      <c r="AM43" s="59"/>
      <c r="AN43" s="59"/>
      <c r="AO43" s="59"/>
      <c r="AP43" s="59"/>
      <c r="AQ43" s="59"/>
      <c r="AR43" s="59"/>
    </row>
    <row r="44" spans="2:44" ht="15.95" hidden="1" customHeight="1" x14ac:dyDescent="0.25">
      <c r="B44" s="59"/>
      <c r="I44" s="59"/>
      <c r="J44" s="229"/>
      <c r="K44" s="229"/>
      <c r="L44" s="229"/>
      <c r="M44" s="229"/>
      <c r="N44" s="229"/>
      <c r="O44" s="229"/>
      <c r="P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2:44" ht="15.95" hidden="1" customHeight="1" x14ac:dyDescent="0.25">
      <c r="B45" s="59"/>
      <c r="I45" s="59"/>
      <c r="J45" s="229"/>
      <c r="K45" s="229"/>
      <c r="L45" s="229"/>
      <c r="M45" s="229"/>
      <c r="N45" s="229"/>
      <c r="O45" s="229"/>
      <c r="P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2:44" ht="15.95" hidden="1" customHeight="1" x14ac:dyDescent="0.25">
      <c r="B46" s="59"/>
      <c r="I46" s="59"/>
      <c r="J46" s="229"/>
      <c r="K46" s="229"/>
      <c r="L46" s="229"/>
      <c r="M46" s="229"/>
      <c r="N46" s="229"/>
      <c r="O46" s="229"/>
      <c r="P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2:44" ht="15.95" hidden="1" customHeight="1" x14ac:dyDescent="0.25">
      <c r="B47" s="59"/>
      <c r="I47" s="59"/>
      <c r="J47" s="229"/>
      <c r="K47" s="59"/>
      <c r="L47" s="59"/>
      <c r="M47" s="59"/>
      <c r="N47" s="59"/>
      <c r="O47" s="274"/>
      <c r="P47" s="274"/>
      <c r="Q47" s="274"/>
      <c r="R47" s="274"/>
      <c r="S47" s="274"/>
      <c r="T47" s="274"/>
      <c r="U47" s="274"/>
      <c r="V47" s="274"/>
      <c r="W47" s="274"/>
      <c r="X47" s="275"/>
      <c r="Y47" s="275"/>
      <c r="Z47" s="275"/>
      <c r="AA47" s="275"/>
      <c r="AB47" s="275"/>
      <c r="AC47" s="275"/>
      <c r="AD47" s="275"/>
      <c r="AE47" s="275"/>
      <c r="AF47" s="275"/>
      <c r="AG47" s="59"/>
      <c r="AH47" s="59"/>
      <c r="AI47" s="59"/>
      <c r="AJ47" s="59"/>
      <c r="AK47" s="59"/>
      <c r="AL47" s="59"/>
      <c r="AM47" s="59"/>
      <c r="AN47" s="59"/>
      <c r="AO47" s="59"/>
      <c r="AP47" s="59"/>
      <c r="AQ47" s="59"/>
      <c r="AR47" s="59"/>
    </row>
    <row r="48" spans="2:44" ht="15.95" hidden="1" customHeight="1" x14ac:dyDescent="0.25">
      <c r="B48" s="59"/>
      <c r="I48" s="59"/>
      <c r="J48" s="229"/>
      <c r="K48" s="262"/>
      <c r="L48" s="262"/>
      <c r="M48" s="262"/>
      <c r="N48" s="262"/>
      <c r="O48" s="268"/>
      <c r="P48" s="268"/>
      <c r="Q48" s="268"/>
      <c r="R48" s="268"/>
      <c r="S48" s="268"/>
      <c r="T48" s="268"/>
      <c r="U48" s="268"/>
      <c r="V48" s="268"/>
      <c r="W48" s="268"/>
      <c r="X48" s="269"/>
      <c r="Y48" s="269"/>
      <c r="Z48" s="269"/>
      <c r="AA48" s="269"/>
      <c r="AB48" s="269"/>
      <c r="AC48" s="269"/>
      <c r="AD48" s="269"/>
      <c r="AE48" s="269"/>
      <c r="AF48" s="269"/>
      <c r="AG48" s="59"/>
      <c r="AH48" s="59"/>
      <c r="AI48" s="59"/>
      <c r="AJ48" s="59"/>
      <c r="AK48" s="59"/>
      <c r="AL48" s="59"/>
      <c r="AM48" s="59"/>
      <c r="AN48" s="59"/>
      <c r="AO48" s="59"/>
      <c r="AP48" s="59"/>
      <c r="AQ48" s="59"/>
      <c r="AR48" s="59"/>
    </row>
    <row r="49" spans="2:44" ht="15.95" hidden="1" customHeight="1" x14ac:dyDescent="0.25">
      <c r="B49" s="59"/>
      <c r="I49" s="59"/>
      <c r="J49" s="229"/>
      <c r="K49" s="262"/>
      <c r="L49" s="262"/>
      <c r="M49" s="262"/>
      <c r="N49" s="262"/>
      <c r="O49" s="268"/>
      <c r="P49" s="268"/>
      <c r="Q49" s="268"/>
      <c r="R49" s="268"/>
      <c r="S49" s="268"/>
      <c r="T49" s="268"/>
      <c r="U49" s="268"/>
      <c r="V49" s="268"/>
      <c r="W49" s="268"/>
      <c r="X49" s="269"/>
      <c r="Y49" s="269"/>
      <c r="Z49" s="269"/>
      <c r="AA49" s="269"/>
      <c r="AB49" s="269"/>
      <c r="AC49" s="269"/>
      <c r="AD49" s="269"/>
      <c r="AE49" s="269"/>
      <c r="AF49" s="269"/>
      <c r="AG49" s="59"/>
      <c r="AH49" s="59"/>
      <c r="AI49" s="59"/>
      <c r="AJ49" s="59"/>
      <c r="AK49" s="59"/>
      <c r="AL49" s="59"/>
      <c r="AM49" s="59"/>
      <c r="AN49" s="59"/>
      <c r="AO49" s="59"/>
      <c r="AP49" s="59"/>
      <c r="AQ49" s="59"/>
      <c r="AR49" s="59"/>
    </row>
    <row r="50" spans="2:44" ht="15.95" hidden="1" customHeight="1" x14ac:dyDescent="0.25">
      <c r="B50" s="59"/>
      <c r="I50" s="59"/>
      <c r="J50" s="229"/>
      <c r="K50" s="262"/>
      <c r="L50" s="262"/>
      <c r="M50" s="262"/>
      <c r="N50" s="262"/>
      <c r="O50" s="270"/>
      <c r="P50" s="270"/>
      <c r="Q50" s="270"/>
      <c r="R50" s="270"/>
      <c r="S50" s="270"/>
      <c r="T50" s="270"/>
      <c r="U50" s="270"/>
      <c r="V50" s="270"/>
      <c r="W50" s="270"/>
      <c r="X50" s="271"/>
      <c r="Y50" s="271"/>
      <c r="Z50" s="271"/>
      <c r="AA50" s="271"/>
      <c r="AB50" s="271"/>
      <c r="AC50" s="271"/>
      <c r="AD50" s="271"/>
      <c r="AE50" s="271"/>
      <c r="AF50" s="271"/>
      <c r="AG50" s="59"/>
      <c r="AH50" s="59"/>
      <c r="AI50" s="59"/>
      <c r="AJ50" s="59"/>
      <c r="AK50" s="59"/>
      <c r="AL50" s="59"/>
      <c r="AM50" s="59"/>
      <c r="AN50" s="59"/>
      <c r="AO50" s="59"/>
      <c r="AP50" s="59"/>
      <c r="AQ50" s="59"/>
      <c r="AR50" s="59"/>
    </row>
    <row r="51" spans="2:44" ht="15.95" hidden="1" customHeight="1" x14ac:dyDescent="0.25">
      <c r="B51" s="59"/>
      <c r="I51" s="59"/>
      <c r="J51" s="229"/>
      <c r="K51" s="262"/>
      <c r="L51" s="262"/>
      <c r="M51" s="262"/>
      <c r="N51" s="262"/>
      <c r="O51" s="270"/>
      <c r="P51" s="270"/>
      <c r="Q51" s="270"/>
      <c r="R51" s="270"/>
      <c r="S51" s="270"/>
      <c r="T51" s="270"/>
      <c r="U51" s="270"/>
      <c r="V51" s="270"/>
      <c r="W51" s="270"/>
      <c r="X51" s="271"/>
      <c r="Y51" s="271"/>
      <c r="Z51" s="271"/>
      <c r="AA51" s="271"/>
      <c r="AB51" s="271"/>
      <c r="AC51" s="271"/>
      <c r="AD51" s="271"/>
      <c r="AE51" s="271"/>
      <c r="AF51" s="271"/>
      <c r="AG51" s="59"/>
      <c r="AH51" s="59"/>
      <c r="AI51" s="59"/>
      <c r="AJ51" s="59"/>
      <c r="AK51" s="59"/>
      <c r="AL51" s="59"/>
      <c r="AM51" s="59"/>
      <c r="AN51" s="59"/>
      <c r="AO51" s="59"/>
      <c r="AP51" s="59"/>
      <c r="AQ51" s="59"/>
      <c r="AR51" s="59"/>
    </row>
    <row r="52" spans="2:44" ht="15.95" hidden="1" customHeight="1" x14ac:dyDescent="0.25">
      <c r="B52" s="59"/>
      <c r="I52" s="59"/>
      <c r="J52" s="229"/>
      <c r="K52" s="262"/>
      <c r="L52" s="262"/>
      <c r="M52" s="262"/>
      <c r="N52" s="262"/>
      <c r="O52" s="263"/>
      <c r="P52" s="263"/>
      <c r="Q52" s="263"/>
      <c r="R52" s="263"/>
      <c r="S52" s="263"/>
      <c r="T52" s="263"/>
      <c r="U52" s="263"/>
      <c r="V52" s="263"/>
      <c r="W52" s="263"/>
      <c r="X52" s="264"/>
      <c r="Y52" s="264"/>
      <c r="Z52" s="264"/>
      <c r="AA52" s="264"/>
      <c r="AB52" s="264"/>
      <c r="AC52" s="264"/>
      <c r="AD52" s="264"/>
      <c r="AE52" s="264"/>
      <c r="AF52" s="264"/>
      <c r="AG52" s="59"/>
      <c r="AH52" s="59"/>
      <c r="AI52" s="59"/>
      <c r="AJ52" s="59"/>
      <c r="AK52" s="59"/>
      <c r="AL52" s="59"/>
      <c r="AM52" s="59"/>
      <c r="AN52" s="59"/>
      <c r="AO52" s="59"/>
      <c r="AP52" s="59"/>
      <c r="AQ52" s="59"/>
      <c r="AR52" s="59"/>
    </row>
    <row r="53" spans="2:44" ht="15.95" hidden="1" customHeight="1" x14ac:dyDescent="0.25">
      <c r="B53" s="59"/>
      <c r="I53" s="59"/>
      <c r="J53" s="229"/>
      <c r="K53" s="262"/>
      <c r="L53" s="262"/>
      <c r="M53" s="262"/>
      <c r="N53" s="262"/>
      <c r="O53" s="263"/>
      <c r="P53" s="263"/>
      <c r="Q53" s="263"/>
      <c r="R53" s="263"/>
      <c r="S53" s="263"/>
      <c r="T53" s="263"/>
      <c r="U53" s="263"/>
      <c r="V53" s="263"/>
      <c r="W53" s="263"/>
      <c r="X53" s="264"/>
      <c r="Y53" s="264"/>
      <c r="Z53" s="264"/>
      <c r="AA53" s="264"/>
      <c r="AB53" s="264"/>
      <c r="AC53" s="264"/>
      <c r="AD53" s="264"/>
      <c r="AE53" s="264"/>
      <c r="AF53" s="264"/>
      <c r="AG53" s="59"/>
      <c r="AH53" s="59"/>
      <c r="AI53" s="59"/>
      <c r="AJ53" s="59"/>
      <c r="AK53" s="59"/>
      <c r="AL53" s="59"/>
      <c r="AM53" s="59"/>
      <c r="AN53" s="59"/>
      <c r="AO53" s="59"/>
      <c r="AP53" s="59"/>
      <c r="AQ53" s="59"/>
      <c r="AR53" s="59"/>
    </row>
    <row r="54" spans="2:44" ht="15.95" hidden="1" customHeight="1" x14ac:dyDescent="0.25">
      <c r="B54" s="59"/>
      <c r="I54" s="59"/>
      <c r="J54" s="229"/>
      <c r="K54" s="229"/>
      <c r="L54" s="229"/>
      <c r="M54" s="229"/>
      <c r="N54" s="229"/>
      <c r="O54" s="229"/>
      <c r="P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2:44" ht="15.95" hidden="1" customHeight="1" x14ac:dyDescent="0.4">
      <c r="B55" s="59"/>
      <c r="I55" s="59"/>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59"/>
      <c r="AL55" s="59"/>
      <c r="AM55" s="59"/>
      <c r="AN55" s="59"/>
      <c r="AO55" s="59"/>
      <c r="AP55" s="59"/>
      <c r="AQ55" s="59"/>
      <c r="AR55" s="59"/>
    </row>
    <row r="56" spans="2:44" ht="15.95" hidden="1" customHeight="1" x14ac:dyDescent="0.4">
      <c r="B56" s="59"/>
      <c r="I56" s="59"/>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59"/>
      <c r="AL56" s="59"/>
      <c r="AM56" s="59"/>
      <c r="AN56" s="59"/>
      <c r="AO56" s="59"/>
      <c r="AP56" s="59"/>
      <c r="AQ56" s="59"/>
      <c r="AR56" s="59"/>
    </row>
    <row r="57" spans="2:44" ht="15.95" hidden="1" customHeight="1" x14ac:dyDescent="0.25">
      <c r="B57" s="59"/>
      <c r="I57" s="59"/>
      <c r="AK57" s="59"/>
      <c r="AL57" s="59"/>
      <c r="AM57" s="59"/>
      <c r="AN57" s="59"/>
      <c r="AO57" s="59"/>
      <c r="AP57" s="59"/>
      <c r="AQ57" s="59"/>
      <c r="AR57" s="59"/>
    </row>
    <row r="58" spans="2:44" ht="15.95" hidden="1" customHeight="1" x14ac:dyDescent="0.25">
      <c r="B58" s="59"/>
      <c r="I58" s="59"/>
      <c r="AK58" s="59"/>
      <c r="AL58" s="59"/>
      <c r="AM58" s="59"/>
      <c r="AN58" s="59"/>
      <c r="AO58" s="59"/>
      <c r="AP58" s="59"/>
      <c r="AQ58" s="59"/>
      <c r="AR58" s="59"/>
    </row>
    <row r="59" spans="2:44" ht="15.95" hidden="1" customHeight="1" x14ac:dyDescent="0.35">
      <c r="B59" s="59"/>
      <c r="I59" s="59"/>
      <c r="J59" s="266"/>
      <c r="K59" s="266"/>
      <c r="L59" s="266"/>
      <c r="M59" s="266"/>
      <c r="N59" s="266"/>
      <c r="O59" s="266"/>
      <c r="P59" s="266"/>
      <c r="Q59" s="266"/>
      <c r="R59" s="266"/>
      <c r="AK59" s="59"/>
      <c r="AL59" s="59"/>
      <c r="AM59" s="59"/>
      <c r="AN59" s="59"/>
      <c r="AO59" s="59"/>
      <c r="AP59" s="59"/>
      <c r="AQ59" s="59"/>
      <c r="AR59" s="59"/>
    </row>
    <row r="60" spans="2:44" ht="15.95" hidden="1" customHeight="1" x14ac:dyDescent="0.35">
      <c r="B60" s="59"/>
      <c r="I60" s="59"/>
      <c r="J60" s="266"/>
      <c r="K60" s="266"/>
      <c r="L60" s="266"/>
      <c r="M60" s="266"/>
      <c r="N60" s="266"/>
      <c r="O60" s="266"/>
      <c r="P60" s="266"/>
      <c r="Q60" s="266"/>
      <c r="R60" s="266"/>
      <c r="AK60" s="59"/>
      <c r="AL60" s="59"/>
      <c r="AM60" s="59"/>
      <c r="AN60" s="59"/>
      <c r="AO60" s="59"/>
      <c r="AP60" s="59"/>
      <c r="AQ60" s="59"/>
      <c r="AR60" s="59"/>
    </row>
    <row r="61" spans="2:44" ht="15.95" hidden="1" customHeight="1" x14ac:dyDescent="0.25">
      <c r="B61" s="59"/>
      <c r="I61" s="59"/>
      <c r="J61" s="267"/>
      <c r="K61" s="267"/>
      <c r="L61" s="267"/>
      <c r="M61" s="267"/>
      <c r="N61" s="267"/>
      <c r="O61" s="267"/>
      <c r="P61" s="267"/>
      <c r="Q61" s="267"/>
      <c r="R61" s="267"/>
      <c r="AK61" s="59"/>
      <c r="AL61" s="59"/>
      <c r="AM61" s="59"/>
      <c r="AN61" s="59"/>
      <c r="AO61" s="59"/>
      <c r="AP61" s="59"/>
      <c r="AQ61" s="59"/>
      <c r="AR61" s="59"/>
    </row>
    <row r="62" spans="2:44" ht="15.95" hidden="1" customHeight="1" x14ac:dyDescent="0.25">
      <c r="B62" s="59"/>
      <c r="I62" s="59"/>
      <c r="J62" s="267"/>
      <c r="K62" s="267"/>
      <c r="L62" s="267"/>
      <c r="M62" s="267"/>
      <c r="N62" s="267"/>
      <c r="O62" s="267"/>
      <c r="P62" s="267"/>
      <c r="Q62" s="267"/>
      <c r="R62" s="267"/>
      <c r="AK62" s="59"/>
      <c r="AL62" s="59"/>
      <c r="AM62" s="59"/>
      <c r="AN62" s="59"/>
      <c r="AO62" s="59"/>
      <c r="AP62" s="59"/>
      <c r="AQ62" s="59"/>
      <c r="AR62" s="59"/>
    </row>
    <row r="63" spans="2:44" ht="15.95" hidden="1" customHeight="1" x14ac:dyDescent="0.35">
      <c r="B63" s="59"/>
      <c r="I63" s="59"/>
      <c r="K63" s="242"/>
      <c r="L63" s="242"/>
      <c r="M63" s="242"/>
      <c r="N63" s="242"/>
      <c r="O63" s="242"/>
      <c r="P63" s="242"/>
      <c r="Q63" s="242"/>
      <c r="R63" s="242"/>
      <c r="S63" s="242"/>
      <c r="T63" s="258"/>
      <c r="U63" s="258"/>
      <c r="V63" s="258"/>
      <c r="W63" s="258"/>
      <c r="X63" s="258"/>
      <c r="Y63" s="258"/>
      <c r="Z63" s="258"/>
      <c r="AA63" s="242"/>
      <c r="AB63" s="242"/>
      <c r="AC63" s="242"/>
      <c r="AD63" s="242"/>
      <c r="AE63" s="242"/>
      <c r="AF63" s="242"/>
      <c r="AG63" s="242"/>
      <c r="AH63" s="242"/>
      <c r="AI63" s="242"/>
      <c r="AJ63" s="242"/>
      <c r="AK63" s="59"/>
      <c r="AL63" s="59"/>
      <c r="AM63" s="59"/>
      <c r="AN63" s="59"/>
      <c r="AO63" s="59"/>
      <c r="AP63" s="59"/>
      <c r="AQ63" s="59"/>
      <c r="AR63" s="59"/>
    </row>
    <row r="64" spans="2:44" ht="15.95" hidden="1" customHeight="1" x14ac:dyDescent="0.35">
      <c r="B64" s="59"/>
      <c r="I64" s="59"/>
      <c r="J64" s="242"/>
      <c r="K64" s="242"/>
      <c r="L64" s="242"/>
      <c r="M64" s="242"/>
      <c r="N64" s="242"/>
      <c r="O64" s="242"/>
      <c r="P64" s="242"/>
      <c r="Q64" s="242"/>
      <c r="R64" s="242"/>
      <c r="S64" s="242"/>
      <c r="T64" s="258"/>
      <c r="U64" s="258"/>
      <c r="V64" s="258"/>
      <c r="W64" s="258"/>
      <c r="X64" s="258"/>
      <c r="Y64" s="258"/>
      <c r="Z64" s="258"/>
      <c r="AA64" s="242"/>
      <c r="AB64" s="242"/>
      <c r="AC64" s="242"/>
      <c r="AD64" s="242"/>
      <c r="AE64" s="242"/>
      <c r="AF64" s="242"/>
      <c r="AG64" s="242"/>
      <c r="AH64" s="242"/>
      <c r="AI64" s="242"/>
      <c r="AJ64" s="242"/>
      <c r="AK64" s="59"/>
      <c r="AL64" s="59"/>
      <c r="AM64" s="59"/>
      <c r="AN64" s="59"/>
      <c r="AO64" s="59"/>
      <c r="AP64" s="59"/>
      <c r="AQ64" s="59"/>
      <c r="AR64" s="59"/>
    </row>
    <row r="65" spans="2:44" ht="15.95" hidden="1" customHeight="1" x14ac:dyDescent="0.25">
      <c r="B65" s="59"/>
      <c r="I65" s="59"/>
      <c r="T65" s="258"/>
      <c r="U65" s="258"/>
      <c r="V65" s="258"/>
      <c r="W65" s="258"/>
      <c r="X65" s="258"/>
      <c r="Y65" s="258"/>
      <c r="Z65" s="258"/>
      <c r="AK65" s="59"/>
      <c r="AL65" s="59"/>
      <c r="AM65" s="59"/>
      <c r="AN65" s="59"/>
      <c r="AO65" s="59"/>
      <c r="AP65" s="59"/>
      <c r="AQ65" s="59"/>
      <c r="AR65" s="59"/>
    </row>
    <row r="66" spans="2:44" ht="15.95" hidden="1" customHeight="1" x14ac:dyDescent="0.35">
      <c r="B66" s="59"/>
      <c r="I66" s="59"/>
      <c r="T66" s="259"/>
      <c r="U66" s="259"/>
      <c r="V66" s="259"/>
      <c r="W66" s="259"/>
      <c r="X66" s="259"/>
      <c r="Y66" s="259"/>
      <c r="Z66" s="259"/>
      <c r="AK66" s="59"/>
      <c r="AL66" s="59"/>
      <c r="AM66" s="59"/>
      <c r="AN66" s="59"/>
      <c r="AO66" s="59"/>
      <c r="AP66" s="59"/>
      <c r="AQ66" s="59"/>
      <c r="AR66" s="59"/>
    </row>
    <row r="67" spans="2:44" ht="15.95" hidden="1" customHeight="1" x14ac:dyDescent="0.35">
      <c r="B67" s="59"/>
      <c r="I67" s="59"/>
      <c r="T67" s="259"/>
      <c r="U67" s="259"/>
      <c r="V67" s="259"/>
      <c r="W67" s="259"/>
      <c r="X67" s="259"/>
      <c r="Y67" s="259"/>
      <c r="Z67" s="259"/>
      <c r="AK67" s="59"/>
      <c r="AL67" s="59"/>
      <c r="AM67" s="59"/>
      <c r="AN67" s="59"/>
      <c r="AO67" s="59"/>
      <c r="AP67" s="59"/>
      <c r="AQ67" s="59"/>
      <c r="AR67" s="59"/>
    </row>
    <row r="68" spans="2:44" ht="15.95" hidden="1" customHeight="1" x14ac:dyDescent="0.25">
      <c r="B68" s="59"/>
      <c r="I68" s="59"/>
      <c r="T68" s="260"/>
      <c r="U68" s="260"/>
      <c r="V68" s="260"/>
      <c r="W68" s="260"/>
      <c r="X68" s="260"/>
      <c r="Y68" s="260"/>
      <c r="Z68" s="260"/>
      <c r="AK68" s="59"/>
      <c r="AL68" s="59"/>
      <c r="AM68" s="59"/>
      <c r="AN68" s="59"/>
      <c r="AO68" s="59"/>
      <c r="AP68" s="59"/>
      <c r="AQ68" s="59"/>
      <c r="AR68" s="59"/>
    </row>
    <row r="69" spans="2:44" ht="15.95" hidden="1" customHeight="1" x14ac:dyDescent="0.25">
      <c r="B69" s="59"/>
      <c r="I69" s="59"/>
      <c r="T69" s="260"/>
      <c r="U69" s="260"/>
      <c r="V69" s="260"/>
      <c r="W69" s="260"/>
      <c r="X69" s="260"/>
      <c r="Y69" s="260"/>
      <c r="Z69" s="260"/>
      <c r="AK69" s="59"/>
      <c r="AL69" s="59"/>
      <c r="AM69" s="59"/>
      <c r="AN69" s="59"/>
      <c r="AO69" s="59"/>
      <c r="AP69" s="59"/>
      <c r="AQ69" s="59"/>
      <c r="AR69" s="59"/>
    </row>
    <row r="70" spans="2:44" ht="15.95" hidden="1" customHeight="1" x14ac:dyDescent="0.25">
      <c r="B70" s="59"/>
      <c r="I70" s="59"/>
      <c r="AK70" s="59"/>
      <c r="AL70" s="59"/>
      <c r="AM70" s="59"/>
      <c r="AN70" s="59"/>
      <c r="AO70" s="59"/>
      <c r="AP70" s="59"/>
      <c r="AQ70" s="59"/>
      <c r="AR70" s="59"/>
    </row>
    <row r="71" spans="2:44" ht="15.95" hidden="1" customHeight="1" x14ac:dyDescent="0.25">
      <c r="B71" s="59"/>
      <c r="I71" s="59"/>
      <c r="M71" s="261"/>
      <c r="N71" s="261"/>
      <c r="O71" s="261"/>
      <c r="P71" s="261"/>
      <c r="Q71" s="261"/>
      <c r="R71" s="261"/>
      <c r="S71" s="244"/>
      <c r="T71" s="244"/>
      <c r="V71" s="261"/>
      <c r="W71" s="261"/>
      <c r="X71" s="261"/>
      <c r="Y71" s="261"/>
      <c r="Z71" s="261"/>
      <c r="AA71" s="261"/>
      <c r="AB71" s="245"/>
      <c r="AC71" s="245"/>
      <c r="AD71" s="245"/>
      <c r="AE71" s="261"/>
      <c r="AF71" s="261"/>
      <c r="AG71" s="261"/>
      <c r="AH71" s="261"/>
      <c r="AI71" s="261"/>
      <c r="AJ71" s="261"/>
      <c r="AK71" s="59"/>
      <c r="AL71" s="59"/>
      <c r="AM71" s="59"/>
      <c r="AN71" s="59"/>
      <c r="AO71" s="59"/>
      <c r="AP71" s="59"/>
      <c r="AQ71" s="59"/>
      <c r="AR71" s="59"/>
    </row>
    <row r="72" spans="2:44" ht="15.95" hidden="1" customHeight="1" x14ac:dyDescent="0.25">
      <c r="B72" s="59"/>
      <c r="I72" s="59"/>
      <c r="M72" s="246"/>
      <c r="N72" s="246"/>
      <c r="O72" s="246"/>
      <c r="P72" s="246"/>
      <c r="Q72" s="246"/>
      <c r="R72" s="246"/>
      <c r="S72" s="246"/>
      <c r="T72" s="246"/>
      <c r="V72" s="247"/>
      <c r="W72" s="247"/>
      <c r="X72" s="247"/>
      <c r="Y72" s="247"/>
      <c r="Z72" s="247"/>
      <c r="AA72" s="247"/>
      <c r="AB72" s="247"/>
      <c r="AC72" s="247"/>
      <c r="AD72" s="247"/>
      <c r="AE72" s="247"/>
      <c r="AF72" s="247"/>
      <c r="AG72" s="247"/>
      <c r="AH72" s="247"/>
      <c r="AI72" s="247"/>
      <c r="AJ72" s="247"/>
      <c r="AK72" s="59"/>
      <c r="AL72" s="59"/>
      <c r="AM72" s="59"/>
      <c r="AN72" s="59"/>
      <c r="AO72" s="59"/>
      <c r="AP72" s="59"/>
      <c r="AQ72" s="59"/>
      <c r="AR72" s="59"/>
    </row>
    <row r="73" spans="2:44" ht="15.95" hidden="1" customHeight="1" x14ac:dyDescent="0.25">
      <c r="B73" s="59"/>
      <c r="I73" s="59"/>
      <c r="M73" s="246"/>
      <c r="N73" s="246"/>
      <c r="O73" s="246"/>
      <c r="P73" s="246"/>
      <c r="Q73" s="246"/>
      <c r="R73" s="246"/>
      <c r="S73" s="246"/>
      <c r="T73" s="246"/>
      <c r="V73" s="256"/>
      <c r="W73" s="256"/>
      <c r="X73" s="256"/>
      <c r="Y73" s="256"/>
      <c r="Z73" s="256"/>
      <c r="AA73" s="256"/>
      <c r="AE73" s="257"/>
      <c r="AF73" s="257"/>
      <c r="AG73" s="257"/>
      <c r="AH73" s="257"/>
      <c r="AI73" s="257"/>
      <c r="AJ73" s="257"/>
      <c r="AK73" s="59"/>
      <c r="AL73" s="59"/>
      <c r="AM73" s="59"/>
      <c r="AN73" s="59"/>
      <c r="AO73" s="59"/>
      <c r="AP73" s="59"/>
      <c r="AQ73" s="59"/>
      <c r="AR73" s="59"/>
    </row>
    <row r="74" spans="2:44" ht="15.95" hidden="1" customHeight="1" x14ac:dyDescent="0.25">
      <c r="B74" s="59"/>
      <c r="I74" s="59"/>
      <c r="M74" s="246"/>
      <c r="N74" s="246"/>
      <c r="O74" s="246"/>
      <c r="P74" s="246"/>
      <c r="Q74" s="246"/>
      <c r="R74" s="246"/>
      <c r="AK74" s="59"/>
      <c r="AL74" s="59"/>
      <c r="AM74" s="59"/>
      <c r="AN74" s="59"/>
      <c r="AO74" s="59"/>
      <c r="AP74" s="59"/>
      <c r="AQ74" s="59"/>
      <c r="AR74" s="59"/>
    </row>
    <row r="75" spans="2:44" ht="15.95" hidden="1" customHeight="1" x14ac:dyDescent="0.25">
      <c r="B75" s="59"/>
      <c r="I75" s="59"/>
      <c r="AK75" s="59"/>
      <c r="AL75" s="59"/>
      <c r="AM75" s="59"/>
      <c r="AN75" s="59"/>
      <c r="AO75" s="59"/>
      <c r="AP75" s="59"/>
      <c r="AQ75" s="59"/>
      <c r="AR75" s="59"/>
    </row>
    <row r="76" spans="2:44" ht="15.95" hidden="1" customHeight="1" x14ac:dyDescent="0.25">
      <c r="B76" s="59"/>
      <c r="I76" s="59"/>
      <c r="J76" s="229"/>
      <c r="K76" s="229"/>
      <c r="L76" s="229"/>
      <c r="M76" s="229"/>
      <c r="N76" s="229"/>
      <c r="O76" s="229"/>
      <c r="P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2:44" ht="15.95" hidden="1" customHeight="1" x14ac:dyDescent="0.25">
      <c r="B77" s="59"/>
      <c r="I77" s="59"/>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59"/>
      <c r="AL77" s="59"/>
      <c r="AM77" s="59"/>
      <c r="AN77" s="59"/>
      <c r="AO77" s="59"/>
      <c r="AP77" s="59"/>
      <c r="AQ77" s="59"/>
      <c r="AR77" s="59"/>
    </row>
    <row r="78" spans="2:44" ht="15.95" hidden="1" customHeight="1" x14ac:dyDescent="0.25">
      <c r="B78" s="59"/>
      <c r="I78" s="59"/>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59"/>
      <c r="AL78" s="59"/>
      <c r="AM78" s="59"/>
      <c r="AN78" s="59"/>
      <c r="AO78" s="59"/>
      <c r="AP78" s="59"/>
      <c r="AQ78" s="59"/>
      <c r="AR78" s="59"/>
    </row>
    <row r="79" spans="2:44" ht="15.95" hidden="1" customHeight="1" x14ac:dyDescent="0.25">
      <c r="B79" s="59"/>
      <c r="I79" s="59"/>
      <c r="J79" s="229"/>
      <c r="K79" s="229"/>
      <c r="L79" s="229"/>
      <c r="M79" s="229"/>
      <c r="N79" s="229"/>
      <c r="O79" s="229"/>
      <c r="P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2:44" ht="15.95" hidden="1" customHeight="1" x14ac:dyDescent="0.25">
      <c r="B80" s="59"/>
      <c r="I80" s="59"/>
      <c r="J80" s="229"/>
      <c r="K80" s="229"/>
      <c r="L80" s="229"/>
      <c r="M80" s="229"/>
      <c r="N80" s="229"/>
      <c r="O80" s="229"/>
      <c r="P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2:44" ht="15.95" hidden="1" customHeight="1" x14ac:dyDescent="0.25">
      <c r="B81" s="59"/>
      <c r="I81" s="59"/>
      <c r="J81" s="229"/>
      <c r="K81" s="229"/>
      <c r="L81" s="229"/>
      <c r="M81" s="229"/>
      <c r="N81" s="229"/>
      <c r="O81" s="229"/>
      <c r="P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2:44" ht="15.95" hidden="1" customHeight="1" x14ac:dyDescent="0.25">
      <c r="B82" s="59"/>
      <c r="I82" s="59"/>
      <c r="J82" s="229"/>
      <c r="K82" s="229"/>
      <c r="L82" s="229"/>
      <c r="M82" s="229"/>
      <c r="N82" s="229"/>
      <c r="O82" s="229"/>
      <c r="P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2:44" ht="15.95" hidden="1" customHeight="1" x14ac:dyDescent="0.25">
      <c r="B83" s="59"/>
      <c r="I83" s="59"/>
      <c r="J83" s="229"/>
      <c r="K83" s="229"/>
      <c r="L83" s="229"/>
      <c r="M83" s="229"/>
      <c r="N83" s="229"/>
      <c r="O83" s="229"/>
      <c r="P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2:44" ht="15.95" hidden="1" customHeight="1" x14ac:dyDescent="0.25">
      <c r="B84" s="59"/>
      <c r="I84" s="59"/>
      <c r="J84" s="229"/>
      <c r="K84" s="229"/>
      <c r="L84" s="229"/>
      <c r="M84" s="229"/>
      <c r="N84" s="229"/>
      <c r="O84" s="229"/>
      <c r="P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2:44" ht="15.95" hidden="1" customHeight="1" x14ac:dyDescent="0.25">
      <c r="B85" s="59"/>
      <c r="I85" s="59"/>
      <c r="J85" s="229"/>
      <c r="K85" s="229"/>
      <c r="L85" s="229"/>
      <c r="M85" s="229"/>
      <c r="N85" s="229"/>
      <c r="O85" s="229"/>
      <c r="P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2:44" ht="15.95" hidden="1" customHeight="1" x14ac:dyDescent="0.25">
      <c r="B86" s="59"/>
      <c r="I86" s="59"/>
      <c r="J86" s="229"/>
      <c r="K86" s="229"/>
      <c r="L86" s="229"/>
      <c r="M86" s="229"/>
      <c r="N86" s="229"/>
      <c r="O86" s="229"/>
      <c r="P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2:44" ht="15.95" hidden="1" customHeight="1" x14ac:dyDescent="0.25">
      <c r="B87" s="59"/>
      <c r="I87" s="59"/>
      <c r="J87" s="229"/>
      <c r="K87" s="229"/>
      <c r="L87" s="229"/>
      <c r="M87" s="229"/>
      <c r="N87" s="229"/>
      <c r="O87" s="229"/>
      <c r="P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2:44" ht="15.95" hidden="1" customHeight="1" x14ac:dyDescent="0.25">
      <c r="B88" s="59"/>
      <c r="I88" s="59"/>
      <c r="J88" s="229"/>
      <c r="K88" s="229"/>
      <c r="L88" s="229"/>
      <c r="M88" s="229"/>
      <c r="N88" s="229"/>
      <c r="O88" s="229"/>
      <c r="P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2:44" ht="15.95" hidden="1" customHeight="1" x14ac:dyDescent="0.25">
      <c r="B89" s="59"/>
      <c r="I89" s="59"/>
      <c r="J89" s="229"/>
      <c r="K89" s="229"/>
      <c r="L89" s="229"/>
      <c r="M89" s="229"/>
      <c r="N89" s="229"/>
      <c r="O89" s="229"/>
      <c r="P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2:44" ht="15.95" hidden="1" customHeight="1" x14ac:dyDescent="0.25">
      <c r="B90" s="59"/>
      <c r="I90" s="59"/>
      <c r="J90" s="229"/>
      <c r="K90" s="229"/>
      <c r="L90" s="229"/>
      <c r="M90" s="229"/>
      <c r="N90" s="229"/>
      <c r="O90" s="229"/>
      <c r="P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2:44" ht="15.95" hidden="1" customHeight="1" x14ac:dyDescent="0.25">
      <c r="B91" s="59"/>
      <c r="I91" s="59"/>
      <c r="J91" s="229"/>
      <c r="K91" s="229"/>
      <c r="L91" s="229"/>
      <c r="M91" s="229"/>
      <c r="N91" s="229"/>
      <c r="O91" s="229"/>
      <c r="P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2:44" ht="15.95" hidden="1" customHeight="1" x14ac:dyDescent="0.25">
      <c r="B92" s="59"/>
      <c r="I92" s="59"/>
      <c r="J92" s="229"/>
      <c r="K92" s="229"/>
      <c r="L92" s="229"/>
      <c r="M92" s="229"/>
      <c r="N92" s="229"/>
      <c r="O92" s="229"/>
      <c r="P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2:44" ht="15.95" hidden="1" customHeight="1" x14ac:dyDescent="0.25">
      <c r="B93" s="59"/>
      <c r="I93" s="59"/>
      <c r="J93" s="229"/>
      <c r="K93" s="229"/>
      <c r="L93" s="229"/>
      <c r="M93" s="229"/>
      <c r="N93" s="229"/>
      <c r="O93" s="229"/>
      <c r="P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x14ac:dyDescent="0.25">
      <c r="B94" s="59"/>
      <c r="I94" s="59"/>
      <c r="J94" s="229"/>
      <c r="K94" s="229"/>
      <c r="L94" s="229"/>
      <c r="M94" s="229"/>
      <c r="N94" s="229"/>
      <c r="O94" s="229"/>
      <c r="P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x14ac:dyDescent="0.25">
      <c r="B95" s="59"/>
      <c r="I95" s="59"/>
      <c r="J95" s="229"/>
      <c r="K95" s="229"/>
      <c r="L95" s="229"/>
      <c r="M95" s="229"/>
      <c r="N95" s="229"/>
      <c r="O95" s="229"/>
      <c r="P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x14ac:dyDescent="0.25">
      <c r="B96" s="59"/>
      <c r="I96" s="59"/>
      <c r="J96" s="229"/>
      <c r="K96" s="229"/>
      <c r="L96" s="229"/>
      <c r="M96" s="229"/>
      <c r="N96" s="229"/>
      <c r="O96" s="229"/>
      <c r="P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x14ac:dyDescent="0.25">
      <c r="B97" s="59"/>
      <c r="I97" s="59"/>
      <c r="J97" s="229"/>
      <c r="K97" s="229"/>
      <c r="L97" s="229"/>
      <c r="M97" s="229"/>
      <c r="N97" s="229"/>
      <c r="O97" s="229"/>
      <c r="P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x14ac:dyDescent="0.25">
      <c r="B98" s="59"/>
      <c r="I98" s="59"/>
      <c r="J98" s="229"/>
      <c r="K98" s="229"/>
      <c r="L98" s="229"/>
      <c r="M98" s="229"/>
      <c r="N98" s="229"/>
      <c r="O98" s="229"/>
      <c r="P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x14ac:dyDescent="0.25">
      <c r="B99" s="59"/>
      <c r="I99" s="59"/>
      <c r="J99" s="229"/>
      <c r="K99" s="229"/>
      <c r="L99" s="229"/>
      <c r="M99" s="229"/>
      <c r="N99" s="229"/>
      <c r="O99" s="229"/>
      <c r="P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x14ac:dyDescent="0.25">
      <c r="B100" s="59"/>
      <c r="I100" s="59"/>
      <c r="J100" s="229"/>
      <c r="K100" s="229"/>
      <c r="L100" s="229"/>
      <c r="M100" s="229"/>
      <c r="N100" s="229"/>
      <c r="O100" s="229"/>
      <c r="P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x14ac:dyDescent="0.25">
      <c r="B101" s="59"/>
      <c r="I101" s="59"/>
      <c r="J101" s="229"/>
      <c r="K101" s="229"/>
      <c r="L101" s="229"/>
      <c r="M101" s="229"/>
      <c r="N101" s="229"/>
      <c r="O101" s="229"/>
      <c r="P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x14ac:dyDescent="0.25">
      <c r="B102" s="59"/>
      <c r="I102" s="59"/>
      <c r="J102" s="229"/>
      <c r="K102" s="229"/>
      <c r="L102" s="229"/>
      <c r="M102" s="229"/>
      <c r="N102" s="229"/>
      <c r="O102" s="229"/>
      <c r="P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x14ac:dyDescent="0.25">
      <c r="B103" s="59"/>
      <c r="I103" s="59"/>
      <c r="J103" s="229"/>
      <c r="K103" s="229"/>
      <c r="L103" s="229"/>
      <c r="M103" s="229"/>
      <c r="N103" s="229"/>
      <c r="O103" s="229"/>
      <c r="P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x14ac:dyDescent="0.25">
      <c r="B104" s="59"/>
      <c r="I104" s="59"/>
      <c r="J104" s="229"/>
      <c r="K104" s="229"/>
      <c r="L104" s="229"/>
      <c r="M104" s="229"/>
      <c r="N104" s="229"/>
      <c r="O104" s="229"/>
      <c r="P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x14ac:dyDescent="0.25">
      <c r="B105" s="59"/>
      <c r="I105" s="59"/>
      <c r="J105" s="229"/>
      <c r="K105" s="229"/>
      <c r="L105" s="229"/>
      <c r="M105" s="229"/>
      <c r="N105" s="229"/>
      <c r="O105" s="229"/>
      <c r="P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x14ac:dyDescent="0.25">
      <c r="B106" s="59"/>
      <c r="I106" s="59"/>
      <c r="J106" s="229"/>
      <c r="K106" s="229"/>
      <c r="L106" s="229"/>
      <c r="M106" s="229"/>
      <c r="N106" s="229"/>
      <c r="O106" s="229"/>
      <c r="P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x14ac:dyDescent="0.25">
      <c r="B107" s="59"/>
      <c r="I107" s="59"/>
      <c r="J107" s="229"/>
      <c r="K107" s="229"/>
      <c r="L107" s="229"/>
      <c r="M107" s="229"/>
      <c r="N107" s="229"/>
      <c r="O107" s="229"/>
      <c r="P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x14ac:dyDescent="0.25">
      <c r="B108" s="59"/>
      <c r="I108" s="59"/>
      <c r="J108" s="229"/>
      <c r="K108" s="229"/>
      <c r="L108" s="229"/>
      <c r="M108" s="229"/>
      <c r="N108" s="229"/>
      <c r="O108" s="229"/>
      <c r="P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x14ac:dyDescent="0.25">
      <c r="B109" s="59"/>
      <c r="I109" s="59"/>
      <c r="J109" s="229"/>
      <c r="K109" s="229"/>
      <c r="L109" s="229"/>
      <c r="M109" s="229"/>
      <c r="N109" s="229"/>
      <c r="O109" s="229"/>
      <c r="P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x14ac:dyDescent="0.25">
      <c r="B110" s="59"/>
      <c r="I110" s="59"/>
      <c r="J110" s="229"/>
      <c r="K110" s="229"/>
      <c r="L110" s="229"/>
      <c r="M110" s="229"/>
      <c r="N110" s="229"/>
      <c r="O110" s="229"/>
      <c r="P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x14ac:dyDescent="0.25">
      <c r="B111" s="59"/>
      <c r="I111" s="59"/>
      <c r="J111" s="229"/>
      <c r="K111" s="229"/>
      <c r="L111" s="229"/>
      <c r="M111" s="229"/>
      <c r="N111" s="229"/>
      <c r="O111" s="229"/>
      <c r="P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x14ac:dyDescent="0.25">
      <c r="B112" s="59"/>
      <c r="I112" s="59"/>
      <c r="J112" s="229"/>
      <c r="K112" s="229"/>
      <c r="L112" s="229"/>
      <c r="M112" s="229"/>
      <c r="N112" s="229"/>
      <c r="O112" s="229"/>
      <c r="P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x14ac:dyDescent="0.25">
      <c r="B113" s="59"/>
      <c r="I113" s="59"/>
      <c r="J113" s="229"/>
      <c r="K113" s="229"/>
      <c r="L113" s="229"/>
      <c r="M113" s="229"/>
      <c r="N113" s="229"/>
      <c r="O113" s="229"/>
      <c r="P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x14ac:dyDescent="0.25">
      <c r="B114" s="59"/>
      <c r="I114" s="59"/>
      <c r="J114" s="229"/>
      <c r="K114" s="229"/>
      <c r="L114" s="229"/>
      <c r="M114" s="229"/>
      <c r="N114" s="229"/>
      <c r="O114" s="229"/>
      <c r="P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x14ac:dyDescent="0.25">
      <c r="B115" s="59"/>
      <c r="I115" s="59"/>
      <c r="J115" s="229"/>
      <c r="K115" s="229"/>
      <c r="L115" s="229"/>
      <c r="M115" s="229"/>
      <c r="N115" s="229"/>
      <c r="O115" s="229"/>
      <c r="P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x14ac:dyDescent="0.25">
      <c r="B116" s="59"/>
      <c r="I116" s="59"/>
      <c r="J116" s="229"/>
      <c r="K116" s="229"/>
      <c r="L116" s="229"/>
      <c r="M116" s="229"/>
      <c r="N116" s="229"/>
      <c r="O116" s="229"/>
      <c r="P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x14ac:dyDescent="0.25">
      <c r="B117" s="59"/>
      <c r="I117" s="59"/>
      <c r="J117" s="229"/>
      <c r="K117" s="229"/>
      <c r="L117" s="229"/>
      <c r="M117" s="229"/>
      <c r="N117" s="229"/>
      <c r="O117" s="229"/>
      <c r="P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x14ac:dyDescent="0.25">
      <c r="B118" s="59"/>
      <c r="I118" s="59"/>
      <c r="J118" s="229"/>
      <c r="K118" s="229"/>
      <c r="L118" s="229"/>
      <c r="M118" s="229"/>
      <c r="N118" s="229"/>
      <c r="O118" s="229"/>
      <c r="P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x14ac:dyDescent="0.25">
      <c r="B119" s="59"/>
      <c r="I119" s="59"/>
      <c r="J119" s="229"/>
      <c r="K119" s="229"/>
      <c r="L119" s="229"/>
      <c r="M119" s="229"/>
      <c r="N119" s="229"/>
      <c r="O119" s="229"/>
      <c r="P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x14ac:dyDescent="0.25">
      <c r="B120" s="59"/>
      <c r="I120" s="59"/>
      <c r="J120" s="229"/>
      <c r="K120" s="229"/>
      <c r="L120" s="229"/>
      <c r="M120" s="229"/>
      <c r="N120" s="229"/>
      <c r="O120" s="229"/>
      <c r="P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x14ac:dyDescent="0.25">
      <c r="B121" s="59"/>
      <c r="I121" s="59"/>
      <c r="J121" s="229"/>
      <c r="K121" s="229"/>
      <c r="L121" s="229"/>
      <c r="M121" s="229"/>
      <c r="N121" s="229"/>
      <c r="O121" s="229"/>
      <c r="P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x14ac:dyDescent="0.25">
      <c r="B122" s="59"/>
      <c r="I122" s="59"/>
      <c r="J122" s="229"/>
      <c r="K122" s="229"/>
      <c r="L122" s="229"/>
      <c r="M122" s="229"/>
      <c r="N122" s="229"/>
      <c r="O122" s="229"/>
      <c r="P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x14ac:dyDescent="0.25">
      <c r="B123" s="59"/>
      <c r="I123" s="59"/>
      <c r="J123" s="229"/>
      <c r="K123" s="229"/>
      <c r="L123" s="229"/>
      <c r="M123" s="229"/>
      <c r="N123" s="229"/>
      <c r="O123" s="229"/>
      <c r="P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x14ac:dyDescent="0.25">
      <c r="B124" s="59"/>
      <c r="I124" s="59"/>
      <c r="J124" s="229"/>
      <c r="K124" s="229"/>
      <c r="L124" s="229"/>
      <c r="M124" s="229"/>
      <c r="N124" s="229"/>
      <c r="O124" s="229"/>
      <c r="P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x14ac:dyDescent="0.25">
      <c r="B125" s="59"/>
      <c r="I125" s="59"/>
      <c r="J125" s="229"/>
      <c r="K125" s="229"/>
      <c r="L125" s="229"/>
      <c r="M125" s="229"/>
      <c r="N125" s="229"/>
      <c r="O125" s="229"/>
      <c r="P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x14ac:dyDescent="0.25">
      <c r="B126" s="59"/>
      <c r="I126" s="59"/>
      <c r="J126" s="229"/>
      <c r="K126" s="229"/>
      <c r="L126" s="229"/>
      <c r="M126" s="229"/>
      <c r="N126" s="229"/>
      <c r="O126" s="229"/>
      <c r="P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x14ac:dyDescent="0.25">
      <c r="B127" s="59"/>
      <c r="I127" s="59"/>
      <c r="J127" s="229"/>
      <c r="K127" s="229"/>
      <c r="L127" s="229"/>
      <c r="M127" s="229"/>
      <c r="N127" s="229"/>
      <c r="O127" s="229"/>
      <c r="P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x14ac:dyDescent="0.25">
      <c r="B128" s="59"/>
      <c r="I128" s="59"/>
      <c r="J128" s="229"/>
      <c r="K128" s="229"/>
      <c r="L128" s="229"/>
      <c r="M128" s="229"/>
      <c r="N128" s="229"/>
      <c r="O128" s="229"/>
      <c r="P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x14ac:dyDescent="0.25">
      <c r="B129" s="59"/>
      <c r="I129" s="59"/>
      <c r="J129" s="229"/>
      <c r="K129" s="229"/>
      <c r="L129" s="229"/>
      <c r="M129" s="229"/>
      <c r="N129" s="229"/>
      <c r="O129" s="229"/>
      <c r="P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x14ac:dyDescent="0.25">
      <c r="B130" s="59"/>
      <c r="I130" s="59"/>
      <c r="J130" s="229"/>
      <c r="K130" s="229"/>
      <c r="L130" s="229"/>
      <c r="M130" s="229"/>
      <c r="N130" s="229"/>
      <c r="O130" s="229"/>
      <c r="P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x14ac:dyDescent="0.25">
      <c r="B131" s="59"/>
      <c r="I131" s="59"/>
      <c r="J131" s="229"/>
      <c r="K131" s="229"/>
      <c r="L131" s="229"/>
      <c r="M131" s="229"/>
      <c r="N131" s="229"/>
      <c r="O131" s="229"/>
      <c r="P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x14ac:dyDescent="0.25">
      <c r="B132" s="59"/>
      <c r="I132" s="59"/>
      <c r="J132" s="229"/>
      <c r="K132" s="229"/>
      <c r="L132" s="229"/>
      <c r="M132" s="229"/>
      <c r="N132" s="229"/>
      <c r="O132" s="229"/>
      <c r="P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x14ac:dyDescent="0.25">
      <c r="B133" s="59"/>
      <c r="I133" s="59"/>
      <c r="J133" s="229"/>
      <c r="K133" s="229"/>
      <c r="L133" s="229"/>
      <c r="M133" s="229"/>
      <c r="N133" s="229"/>
      <c r="O133" s="229"/>
      <c r="P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x14ac:dyDescent="0.25">
      <c r="B134" s="59"/>
      <c r="I134" s="59"/>
      <c r="J134" s="229"/>
      <c r="K134" s="229"/>
      <c r="L134" s="229"/>
      <c r="M134" s="229"/>
      <c r="N134" s="229"/>
      <c r="O134" s="229"/>
      <c r="P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x14ac:dyDescent="0.25">
      <c r="B135" s="59"/>
      <c r="I135" s="59"/>
      <c r="J135" s="229"/>
      <c r="K135" s="229"/>
      <c r="L135" s="229"/>
      <c r="M135" s="229"/>
      <c r="N135" s="229"/>
      <c r="O135" s="229"/>
      <c r="P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x14ac:dyDescent="0.25">
      <c r="B136" s="59"/>
      <c r="I136" s="59"/>
      <c r="J136" s="229"/>
      <c r="K136" s="229"/>
      <c r="L136" s="229"/>
      <c r="M136" s="229"/>
      <c r="N136" s="229"/>
      <c r="O136" s="229"/>
      <c r="P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x14ac:dyDescent="0.25">
      <c r="B137" s="59"/>
      <c r="I137" s="59"/>
      <c r="J137" s="229"/>
      <c r="K137" s="229"/>
      <c r="L137" s="229"/>
      <c r="M137" s="229"/>
      <c r="N137" s="229"/>
      <c r="O137" s="229"/>
      <c r="P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x14ac:dyDescent="0.25">
      <c r="B138" s="59"/>
      <c r="I138" s="59"/>
      <c r="J138" s="229"/>
      <c r="K138" s="229"/>
      <c r="L138" s="229"/>
      <c r="M138" s="229"/>
      <c r="N138" s="229"/>
      <c r="O138" s="229"/>
      <c r="P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x14ac:dyDescent="0.25">
      <c r="B139" s="59"/>
      <c r="I139" s="59"/>
      <c r="J139" s="229"/>
      <c r="K139" s="229"/>
      <c r="L139" s="229"/>
      <c r="M139" s="229"/>
      <c r="N139" s="229"/>
      <c r="O139" s="229"/>
      <c r="P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x14ac:dyDescent="0.25">
      <c r="B140" s="59"/>
      <c r="I140" s="59"/>
      <c r="J140" s="229"/>
      <c r="K140" s="229"/>
      <c r="L140" s="229"/>
      <c r="M140" s="229"/>
      <c r="N140" s="229"/>
      <c r="O140" s="229"/>
      <c r="P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x14ac:dyDescent="0.25">
      <c r="B141" s="59"/>
      <c r="I141" s="59"/>
      <c r="J141" s="229"/>
      <c r="K141" s="229"/>
      <c r="L141" s="229"/>
      <c r="M141" s="229"/>
      <c r="N141" s="229"/>
      <c r="O141" s="229"/>
      <c r="P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x14ac:dyDescent="0.25">
      <c r="B142" s="59"/>
      <c r="I142" s="59"/>
      <c r="J142" s="229"/>
      <c r="K142" s="229"/>
      <c r="L142" s="229"/>
      <c r="M142" s="229"/>
      <c r="N142" s="229"/>
      <c r="O142" s="229"/>
      <c r="P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x14ac:dyDescent="0.25">
      <c r="B143" s="59"/>
      <c r="I143" s="59"/>
      <c r="J143" s="229"/>
      <c r="K143" s="229"/>
      <c r="L143" s="229"/>
      <c r="M143" s="229"/>
      <c r="N143" s="229"/>
      <c r="O143" s="229"/>
      <c r="P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x14ac:dyDescent="0.25">
      <c r="B144" s="59"/>
      <c r="I144" s="59"/>
      <c r="J144" s="229"/>
      <c r="K144" s="229"/>
      <c r="L144" s="229"/>
      <c r="M144" s="229"/>
      <c r="N144" s="229"/>
      <c r="O144" s="229"/>
      <c r="P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x14ac:dyDescent="0.25">
      <c r="B145" s="59"/>
      <c r="I145" s="59"/>
      <c r="J145" s="229"/>
      <c r="K145" s="229"/>
      <c r="L145" s="229"/>
      <c r="M145" s="229"/>
      <c r="N145" s="229"/>
      <c r="O145" s="229"/>
      <c r="P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x14ac:dyDescent="0.25">
      <c r="B146" s="59"/>
      <c r="I146" s="59"/>
      <c r="J146" s="229"/>
      <c r="K146" s="229"/>
      <c r="L146" s="229"/>
      <c r="M146" s="229"/>
      <c r="N146" s="229"/>
      <c r="O146" s="229"/>
      <c r="P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x14ac:dyDescent="0.25">
      <c r="B147" s="59"/>
      <c r="I147" s="59"/>
      <c r="J147" s="229"/>
      <c r="K147" s="229"/>
      <c r="L147" s="229"/>
      <c r="M147" s="229"/>
      <c r="N147" s="229"/>
      <c r="O147" s="229"/>
      <c r="P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x14ac:dyDescent="0.25">
      <c r="B148" s="59"/>
      <c r="I148" s="59"/>
      <c r="J148" s="229"/>
      <c r="K148" s="229"/>
      <c r="L148" s="229"/>
      <c r="M148" s="229"/>
      <c r="N148" s="229"/>
      <c r="O148" s="229"/>
      <c r="P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x14ac:dyDescent="0.25">
      <c r="B149" s="59"/>
      <c r="I149" s="59"/>
      <c r="J149" s="229"/>
      <c r="K149" s="229"/>
      <c r="L149" s="229"/>
      <c r="M149" s="229"/>
      <c r="N149" s="229"/>
      <c r="O149" s="229"/>
      <c r="P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x14ac:dyDescent="0.25">
      <c r="B150" s="59"/>
      <c r="I150" s="59"/>
      <c r="J150" s="229"/>
      <c r="K150" s="229"/>
      <c r="L150" s="229"/>
      <c r="M150" s="229"/>
      <c r="N150" s="229"/>
      <c r="O150" s="229"/>
      <c r="P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x14ac:dyDescent="0.25">
      <c r="B151" s="59"/>
      <c r="I151" s="59"/>
      <c r="J151" s="229"/>
      <c r="K151" s="229"/>
      <c r="L151" s="229"/>
      <c r="M151" s="229"/>
      <c r="N151" s="229"/>
      <c r="O151" s="229"/>
      <c r="P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x14ac:dyDescent="0.25">
      <c r="B152" s="59"/>
      <c r="I152" s="59"/>
      <c r="J152" s="229"/>
      <c r="K152" s="229"/>
      <c r="L152" s="229"/>
      <c r="M152" s="229"/>
      <c r="N152" s="229"/>
      <c r="O152" s="229"/>
      <c r="P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x14ac:dyDescent="0.25">
      <c r="B153" s="59"/>
      <c r="I153" s="59"/>
      <c r="J153" s="229"/>
      <c r="K153" s="229"/>
      <c r="L153" s="229"/>
      <c r="M153" s="229"/>
      <c r="N153" s="229"/>
      <c r="O153" s="229"/>
      <c r="P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x14ac:dyDescent="0.25">
      <c r="B154" s="59"/>
      <c r="I154" s="59"/>
      <c r="J154" s="229"/>
      <c r="K154" s="229"/>
      <c r="L154" s="229"/>
      <c r="M154" s="229"/>
      <c r="N154" s="229"/>
      <c r="O154" s="229"/>
      <c r="P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x14ac:dyDescent="0.25">
      <c r="B155" s="59"/>
      <c r="I155" s="59"/>
      <c r="J155" s="229"/>
      <c r="K155" s="229"/>
      <c r="L155" s="229"/>
      <c r="M155" s="229"/>
      <c r="N155" s="229"/>
      <c r="O155" s="229"/>
      <c r="P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x14ac:dyDescent="0.25">
      <c r="B156" s="59"/>
      <c r="I156" s="59"/>
      <c r="J156" s="229"/>
      <c r="K156" s="229"/>
      <c r="L156" s="229"/>
      <c r="M156" s="229"/>
      <c r="N156" s="229"/>
      <c r="O156" s="229"/>
      <c r="P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x14ac:dyDescent="0.25">
      <c r="B157" s="59"/>
      <c r="I157" s="59"/>
      <c r="J157" s="229"/>
      <c r="K157" s="229"/>
      <c r="L157" s="229"/>
      <c r="M157" s="229"/>
      <c r="N157" s="229"/>
      <c r="O157" s="229"/>
      <c r="P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x14ac:dyDescent="0.25">
      <c r="B158" s="59"/>
      <c r="I158" s="59"/>
      <c r="J158" s="229"/>
      <c r="K158" s="229"/>
      <c r="L158" s="229"/>
      <c r="M158" s="229"/>
      <c r="N158" s="229"/>
      <c r="O158" s="229"/>
      <c r="P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x14ac:dyDescent="0.25">
      <c r="B159" s="59"/>
      <c r="I159" s="59"/>
      <c r="J159" s="229"/>
      <c r="K159" s="229"/>
      <c r="L159" s="229"/>
      <c r="M159" s="229"/>
      <c r="N159" s="229"/>
      <c r="O159" s="229"/>
      <c r="P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x14ac:dyDescent="0.25">
      <c r="B160" s="59"/>
      <c r="I160" s="59"/>
      <c r="J160" s="229"/>
      <c r="K160" s="229"/>
      <c r="L160" s="229"/>
      <c r="M160" s="229"/>
      <c r="N160" s="229"/>
      <c r="O160" s="229"/>
      <c r="P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x14ac:dyDescent="0.25">
      <c r="B161" s="59"/>
      <c r="I161" s="59"/>
      <c r="J161" s="229"/>
      <c r="K161" s="229"/>
      <c r="L161" s="229"/>
      <c r="M161" s="229"/>
      <c r="N161" s="229"/>
      <c r="O161" s="229"/>
      <c r="P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x14ac:dyDescent="0.25">
      <c r="B162" s="59"/>
      <c r="I162" s="59"/>
      <c r="J162" s="229"/>
      <c r="K162" s="229"/>
      <c r="L162" s="229"/>
      <c r="M162" s="229"/>
      <c r="N162" s="229"/>
      <c r="O162" s="229"/>
      <c r="P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x14ac:dyDescent="0.25">
      <c r="B163" s="59"/>
      <c r="I163" s="59"/>
      <c r="J163" s="229"/>
      <c r="K163" s="229"/>
      <c r="L163" s="229"/>
      <c r="M163" s="229"/>
      <c r="N163" s="229"/>
      <c r="O163" s="229"/>
      <c r="P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x14ac:dyDescent="0.25">
      <c r="B164" s="59"/>
      <c r="I164" s="59"/>
      <c r="J164" s="229"/>
      <c r="K164" s="229"/>
      <c r="L164" s="229"/>
      <c r="M164" s="229"/>
      <c r="N164" s="229"/>
      <c r="O164" s="229"/>
      <c r="P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x14ac:dyDescent="0.25">
      <c r="B165" s="59"/>
      <c r="I165" s="59"/>
      <c r="J165" s="229"/>
      <c r="K165" s="229"/>
      <c r="L165" s="229"/>
      <c r="M165" s="229"/>
      <c r="N165" s="229"/>
      <c r="O165" s="229"/>
      <c r="P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x14ac:dyDescent="0.25">
      <c r="B166" s="59"/>
      <c r="I166" s="59"/>
      <c r="J166" s="229"/>
      <c r="K166" s="229"/>
      <c r="L166" s="229"/>
      <c r="M166" s="229"/>
      <c r="N166" s="229"/>
      <c r="O166" s="229"/>
      <c r="P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x14ac:dyDescent="0.25">
      <c r="B167" s="59"/>
      <c r="I167" s="59"/>
      <c r="J167" s="229"/>
      <c r="K167" s="229"/>
      <c r="L167" s="229"/>
      <c r="M167" s="229"/>
      <c r="N167" s="229"/>
      <c r="O167" s="229"/>
      <c r="P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x14ac:dyDescent="0.25">
      <c r="B168" s="59"/>
      <c r="I168" s="59"/>
      <c r="J168" s="229"/>
      <c r="K168" s="229"/>
      <c r="L168" s="229"/>
      <c r="M168" s="229"/>
      <c r="N168" s="229"/>
      <c r="O168" s="229"/>
      <c r="P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x14ac:dyDescent="0.25">
      <c r="B169" s="59"/>
      <c r="I169" s="59"/>
      <c r="J169" s="229"/>
      <c r="K169" s="229"/>
      <c r="L169" s="229"/>
      <c r="M169" s="229"/>
      <c r="N169" s="229"/>
      <c r="O169" s="229"/>
      <c r="P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x14ac:dyDescent="0.25">
      <c r="B170" s="59"/>
      <c r="I170" s="59"/>
      <c r="J170" s="229"/>
      <c r="K170" s="229"/>
      <c r="L170" s="229"/>
      <c r="M170" s="229"/>
      <c r="N170" s="229"/>
      <c r="O170" s="229"/>
      <c r="P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x14ac:dyDescent="0.25">
      <c r="B171" s="59"/>
      <c r="I171" s="59"/>
      <c r="J171" s="229"/>
      <c r="K171" s="229"/>
      <c r="L171" s="229"/>
      <c r="M171" s="229"/>
      <c r="N171" s="229"/>
      <c r="O171" s="229"/>
      <c r="P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x14ac:dyDescent="0.25">
      <c r="B172" s="59"/>
      <c r="I172" s="59"/>
      <c r="J172" s="229"/>
      <c r="K172" s="229"/>
      <c r="L172" s="229"/>
      <c r="M172" s="229"/>
      <c r="N172" s="229"/>
      <c r="O172" s="229"/>
      <c r="P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x14ac:dyDescent="0.25">
      <c r="B173" s="59"/>
      <c r="I173" s="59"/>
      <c r="J173" s="229"/>
      <c r="K173" s="229"/>
      <c r="L173" s="229"/>
      <c r="M173" s="229"/>
      <c r="N173" s="229"/>
      <c r="O173" s="229"/>
      <c r="P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x14ac:dyDescent="0.25">
      <c r="B174" s="59"/>
      <c r="I174" s="59"/>
      <c r="J174" s="229"/>
      <c r="K174" s="229"/>
      <c r="L174" s="229"/>
      <c r="M174" s="229"/>
      <c r="N174" s="229"/>
      <c r="O174" s="229"/>
      <c r="P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x14ac:dyDescent="0.25">
      <c r="B175" s="59"/>
      <c r="I175" s="59"/>
      <c r="J175" s="229"/>
      <c r="K175" s="229"/>
      <c r="L175" s="229"/>
      <c r="M175" s="229"/>
      <c r="N175" s="229"/>
      <c r="O175" s="229"/>
      <c r="P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x14ac:dyDescent="0.25">
      <c r="B176" s="59"/>
      <c r="I176" s="59"/>
      <c r="J176" s="229"/>
      <c r="K176" s="229"/>
      <c r="L176" s="229"/>
      <c r="M176" s="229"/>
      <c r="N176" s="229"/>
      <c r="O176" s="229"/>
      <c r="P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x14ac:dyDescent="0.25">
      <c r="B177" s="59"/>
      <c r="I177" s="59"/>
      <c r="J177" s="229"/>
      <c r="K177" s="229"/>
      <c r="L177" s="229"/>
      <c r="M177" s="229"/>
      <c r="N177" s="229"/>
      <c r="O177" s="229"/>
      <c r="P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x14ac:dyDescent="0.25">
      <c r="B178" s="59"/>
      <c r="I178" s="59"/>
      <c r="J178" s="229"/>
      <c r="K178" s="229"/>
      <c r="L178" s="229"/>
      <c r="M178" s="229"/>
      <c r="N178" s="229"/>
      <c r="O178" s="229"/>
      <c r="P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x14ac:dyDescent="0.25">
      <c r="B179" s="59"/>
      <c r="I179" s="59"/>
      <c r="J179" s="229"/>
      <c r="K179" s="229"/>
      <c r="L179" s="229"/>
      <c r="M179" s="229"/>
      <c r="N179" s="229"/>
      <c r="O179" s="229"/>
      <c r="P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x14ac:dyDescent="0.25">
      <c r="B180" s="59"/>
      <c r="I180" s="59"/>
      <c r="J180" s="229"/>
      <c r="K180" s="229"/>
      <c r="L180" s="229"/>
      <c r="M180" s="229"/>
      <c r="N180" s="229"/>
      <c r="O180" s="229"/>
      <c r="P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x14ac:dyDescent="0.25">
      <c r="B181" s="59"/>
      <c r="I181" s="59"/>
      <c r="J181" s="229"/>
      <c r="K181" s="229"/>
      <c r="L181" s="229"/>
      <c r="M181" s="229"/>
      <c r="N181" s="229"/>
      <c r="O181" s="229"/>
      <c r="P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x14ac:dyDescent="0.25">
      <c r="B182" s="59"/>
      <c r="I182" s="59"/>
      <c r="J182" s="229"/>
      <c r="K182" s="229"/>
      <c r="L182" s="229"/>
      <c r="M182" s="229"/>
      <c r="N182" s="229"/>
      <c r="O182" s="229"/>
      <c r="P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x14ac:dyDescent="0.25">
      <c r="B183" s="59"/>
      <c r="I183" s="59"/>
      <c r="J183" s="229"/>
      <c r="K183" s="229"/>
      <c r="L183" s="229"/>
      <c r="M183" s="229"/>
      <c r="N183" s="229"/>
      <c r="O183" s="229"/>
      <c r="P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x14ac:dyDescent="0.25">
      <c r="B184" s="59"/>
      <c r="I184" s="59"/>
      <c r="J184" s="229"/>
      <c r="K184" s="229"/>
      <c r="L184" s="229"/>
      <c r="M184" s="229"/>
      <c r="N184" s="229"/>
      <c r="O184" s="229"/>
      <c r="P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x14ac:dyDescent="0.25">
      <c r="B185" s="59"/>
      <c r="I185" s="59"/>
      <c r="J185" s="229"/>
      <c r="K185" s="229"/>
      <c r="L185" s="229"/>
      <c r="M185" s="229"/>
      <c r="N185" s="229"/>
      <c r="O185" s="229"/>
      <c r="P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x14ac:dyDescent="0.25">
      <c r="B186" s="59"/>
      <c r="I186" s="59"/>
      <c r="J186" s="229"/>
      <c r="K186" s="229"/>
      <c r="L186" s="229"/>
      <c r="M186" s="229"/>
      <c r="N186" s="229"/>
      <c r="O186" s="229"/>
      <c r="P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x14ac:dyDescent="0.25">
      <c r="B187" s="59"/>
      <c r="I187" s="59"/>
      <c r="J187" s="229"/>
      <c r="K187" s="229"/>
      <c r="L187" s="229"/>
      <c r="M187" s="229"/>
      <c r="N187" s="229"/>
      <c r="O187" s="229"/>
      <c r="P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x14ac:dyDescent="0.25">
      <c r="B188" s="59"/>
      <c r="I188" s="59"/>
      <c r="J188" s="229"/>
      <c r="K188" s="229"/>
      <c r="L188" s="229"/>
      <c r="M188" s="229"/>
      <c r="N188" s="229"/>
      <c r="O188" s="229"/>
      <c r="P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x14ac:dyDescent="0.25">
      <c r="B189" s="59"/>
      <c r="I189" s="59"/>
      <c r="J189" s="229"/>
      <c r="K189" s="229"/>
      <c r="L189" s="229"/>
      <c r="M189" s="229"/>
      <c r="N189" s="229"/>
      <c r="O189" s="229"/>
      <c r="P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x14ac:dyDescent="0.25">
      <c r="B190" s="59"/>
      <c r="I190" s="59"/>
      <c r="J190" s="229"/>
      <c r="K190" s="229"/>
      <c r="L190" s="229"/>
      <c r="M190" s="229"/>
      <c r="N190" s="229"/>
      <c r="O190" s="229"/>
      <c r="P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x14ac:dyDescent="0.25">
      <c r="B191" s="59"/>
      <c r="I191" s="59"/>
      <c r="J191" s="229"/>
      <c r="K191" s="229"/>
      <c r="L191" s="229"/>
      <c r="M191" s="229"/>
      <c r="N191" s="229"/>
      <c r="O191" s="229"/>
      <c r="P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x14ac:dyDescent="0.25">
      <c r="B192" s="59"/>
      <c r="I192" s="59"/>
      <c r="J192" s="229"/>
      <c r="K192" s="229"/>
      <c r="L192" s="229"/>
      <c r="M192" s="229"/>
      <c r="N192" s="229"/>
      <c r="O192" s="229"/>
      <c r="P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x14ac:dyDescent="0.25">
      <c r="B193" s="59"/>
      <c r="I193" s="59"/>
      <c r="J193" s="229"/>
      <c r="K193" s="229"/>
      <c r="L193" s="229"/>
      <c r="M193" s="229"/>
      <c r="N193" s="229"/>
      <c r="O193" s="229"/>
      <c r="P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x14ac:dyDescent="0.25">
      <c r="B194" s="59"/>
      <c r="I194" s="59"/>
      <c r="J194" s="229"/>
      <c r="K194" s="229"/>
      <c r="L194" s="229"/>
      <c r="M194" s="229"/>
      <c r="N194" s="229"/>
      <c r="O194" s="229"/>
      <c r="P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x14ac:dyDescent="0.25">
      <c r="B195" s="59"/>
      <c r="I195" s="59"/>
      <c r="J195" s="229"/>
      <c r="K195" s="229"/>
      <c r="L195" s="229"/>
      <c r="M195" s="229"/>
      <c r="N195" s="229"/>
      <c r="O195" s="229"/>
      <c r="P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x14ac:dyDescent="0.25">
      <c r="B196" s="59"/>
      <c r="I196" s="59"/>
      <c r="J196" s="229"/>
      <c r="K196" s="229"/>
      <c r="L196" s="229"/>
      <c r="M196" s="229"/>
      <c r="N196" s="229"/>
      <c r="O196" s="229"/>
      <c r="P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x14ac:dyDescent="0.25">
      <c r="B197" s="59"/>
      <c r="I197" s="59"/>
      <c r="J197" s="229"/>
      <c r="K197" s="229"/>
      <c r="L197" s="229"/>
      <c r="M197" s="229"/>
      <c r="N197" s="229"/>
      <c r="O197" s="229"/>
      <c r="P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x14ac:dyDescent="0.25">
      <c r="B198" s="59"/>
      <c r="I198" s="59"/>
      <c r="J198" s="229"/>
      <c r="K198" s="229"/>
      <c r="L198" s="229"/>
      <c r="M198" s="229"/>
      <c r="N198" s="229"/>
      <c r="O198" s="229"/>
      <c r="P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x14ac:dyDescent="0.25">
      <c r="B199" s="59"/>
      <c r="I199" s="59"/>
      <c r="J199" s="229"/>
      <c r="K199" s="229"/>
      <c r="L199" s="229"/>
      <c r="M199" s="229"/>
      <c r="N199" s="229"/>
      <c r="O199" s="229"/>
      <c r="P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hidden="1" customHeight="1" x14ac:dyDescent="0.25">
      <c r="B200" s="59"/>
      <c r="I200" s="59"/>
      <c r="J200" s="229"/>
      <c r="K200" s="229"/>
      <c r="L200" s="229"/>
      <c r="M200" s="229"/>
      <c r="N200" s="229"/>
      <c r="O200" s="229"/>
      <c r="P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2:44" ht="15.95" hidden="1" customHeight="1" x14ac:dyDescent="0.25">
      <c r="B201" s="59"/>
      <c r="I201" s="59"/>
      <c r="J201" s="229"/>
      <c r="K201" s="229"/>
      <c r="L201" s="229"/>
      <c r="M201" s="229"/>
      <c r="N201" s="229"/>
      <c r="O201" s="229"/>
      <c r="P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2:44" ht="15.95" hidden="1" customHeight="1" x14ac:dyDescent="0.25">
      <c r="B202" s="59"/>
      <c r="I202" s="59"/>
      <c r="J202" s="229"/>
      <c r="K202" s="229"/>
      <c r="L202" s="229"/>
      <c r="M202" s="229"/>
      <c r="N202" s="229"/>
      <c r="O202" s="22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2:44" ht="15.95" customHeight="1" x14ac:dyDescent="0.25">
      <c r="B203" s="60" t="e">
        <f>FOOT1</f>
        <v>#REF!</v>
      </c>
      <c r="C203" s="60"/>
      <c r="D203" s="60"/>
      <c r="E203" s="60"/>
      <c r="F203" s="60"/>
      <c r="G203" s="60"/>
      <c r="H203" s="60"/>
      <c r="I203" s="60"/>
      <c r="J203" s="60"/>
      <c r="K203" s="60"/>
      <c r="L203" s="60"/>
      <c r="M203" s="496" t="e">
        <f>FOOTDISCLAIM</f>
        <v>#REF!</v>
      </c>
      <c r="N203" s="496"/>
      <c r="O203" s="496"/>
      <c r="P203" s="496"/>
      <c r="Q203" s="496"/>
      <c r="R203" s="496"/>
      <c r="S203" s="496"/>
      <c r="T203" s="496"/>
      <c r="U203" s="496"/>
      <c r="V203" s="496"/>
      <c r="W203" s="496"/>
      <c r="X203" s="496"/>
      <c r="Y203" s="496"/>
      <c r="Z203" s="496"/>
      <c r="AA203" s="496"/>
      <c r="AB203" s="496"/>
      <c r="AC203" s="496"/>
      <c r="AD203" s="496"/>
      <c r="AE203" s="496"/>
      <c r="AF203" s="496"/>
      <c r="AG203" s="496"/>
      <c r="AH203" s="60"/>
      <c r="AI203" s="60"/>
      <c r="AJ203" s="60"/>
      <c r="AK203" s="60"/>
      <c r="AL203" s="60"/>
      <c r="AM203" s="60"/>
      <c r="AN203" s="60"/>
      <c r="AO203" s="60"/>
      <c r="AP203" s="60"/>
      <c r="AQ203" s="60"/>
      <c r="AR203" s="125" t="e">
        <f>FOOT4</f>
        <v>#REF!</v>
      </c>
    </row>
    <row r="204" spans="2:44" ht="15.95" customHeight="1" x14ac:dyDescent="0.25">
      <c r="B204" s="60" t="e">
        <f>FOOT2</f>
        <v>#REF!</v>
      </c>
      <c r="C204" s="60"/>
      <c r="D204" s="60"/>
      <c r="E204" s="60"/>
      <c r="F204" s="60"/>
      <c r="G204" s="60"/>
      <c r="H204" s="60"/>
      <c r="I204" s="60"/>
      <c r="J204" s="60"/>
      <c r="K204" s="60"/>
      <c r="L204" s="60"/>
      <c r="M204" s="496"/>
      <c r="N204" s="496"/>
      <c r="O204" s="496"/>
      <c r="P204" s="496"/>
      <c r="Q204" s="496"/>
      <c r="R204" s="496"/>
      <c r="S204" s="496"/>
      <c r="T204" s="496"/>
      <c r="U204" s="496"/>
      <c r="V204" s="496"/>
      <c r="W204" s="496"/>
      <c r="X204" s="496"/>
      <c r="Y204" s="496"/>
      <c r="Z204" s="496"/>
      <c r="AA204" s="496"/>
      <c r="AB204" s="496"/>
      <c r="AC204" s="496"/>
      <c r="AD204" s="496"/>
      <c r="AE204" s="496"/>
      <c r="AF204" s="496"/>
      <c r="AG204" s="496"/>
      <c r="AH204" s="60"/>
      <c r="AI204" s="60"/>
      <c r="AJ204" s="60"/>
      <c r="AK204" s="60"/>
      <c r="AL204" s="60"/>
      <c r="AM204" s="60"/>
      <c r="AN204" s="60"/>
      <c r="AO204" s="60"/>
      <c r="AP204" s="60"/>
      <c r="AQ204" s="60"/>
      <c r="AR204" s="125" t="e">
        <f>FOOT5</f>
        <v>#REF!</v>
      </c>
    </row>
    <row r="205" spans="2:44" ht="15.95" customHeight="1" x14ac:dyDescent="0.25">
      <c r="B205" s="153" t="e">
        <f>FOOT3</f>
        <v>#REF!</v>
      </c>
      <c r="C205" s="60"/>
      <c r="D205" s="60"/>
      <c r="E205" s="60"/>
      <c r="F205" s="60"/>
      <c r="G205" s="60"/>
      <c r="H205" s="60"/>
      <c r="I205" s="60"/>
      <c r="J205" s="60"/>
      <c r="K205" s="60"/>
      <c r="L205" s="60"/>
      <c r="M205" s="62"/>
      <c r="N205" s="60"/>
      <c r="O205" s="60"/>
      <c r="P205" s="62"/>
      <c r="Q205" s="62"/>
      <c r="R205" s="62"/>
      <c r="S205" s="62"/>
      <c r="T205" s="62"/>
      <c r="U205" s="62"/>
      <c r="V205" s="62"/>
      <c r="W205" s="63" t="str">
        <f>VERSION</f>
        <v>Lighting One-Page 2.3.0</v>
      </c>
      <c r="X205" s="62"/>
      <c r="Y205" s="62"/>
      <c r="Z205" s="62"/>
      <c r="AA205" s="62"/>
      <c r="AB205" s="62"/>
      <c r="AC205" s="62"/>
      <c r="AD205" s="62"/>
      <c r="AE205" s="60"/>
      <c r="AF205" s="60"/>
      <c r="AG205" s="60"/>
      <c r="AH205" s="60"/>
      <c r="AI205" s="60"/>
      <c r="AJ205" s="60"/>
      <c r="AK205" s="60"/>
      <c r="AL205" s="60"/>
      <c r="AM205" s="60"/>
      <c r="AN205" s="60"/>
      <c r="AO205" s="60"/>
      <c r="AP205" s="60"/>
      <c r="AQ205" s="60"/>
      <c r="AR205" s="125" t="e">
        <f>FOOT6</f>
        <v>#REF!</v>
      </c>
    </row>
  </sheetData>
  <sheetProtection algorithmName="SHA-512" hashValue="WfW/Sgz4gWNbOPconxfs86PwgFVF0aBpbpNrxSt67RKbdMrsJ5XOlcXhdqp3rXncl7RmSB676PBxDaOsc+gmBg==" saltValue="EMUnFibNH3PZKYPundFQfw==" spinCount="100000" sheet="1" objects="1" scenarios="1" selectLockedCells="1"/>
  <mergeCells count="24">
    <mergeCell ref="M11:AG12"/>
    <mergeCell ref="AH2:AK3"/>
    <mergeCell ref="AL2:AP3"/>
    <mergeCell ref="AQ1:AR1"/>
    <mergeCell ref="M203:AG204"/>
    <mergeCell ref="Q1:R1"/>
    <mergeCell ref="U1:V1"/>
    <mergeCell ref="AQ2:AR3"/>
    <mergeCell ref="K10:AI10"/>
    <mergeCell ref="Y1:Z1"/>
    <mergeCell ref="AH1:AK1"/>
    <mergeCell ref="AL1:AP1"/>
    <mergeCell ref="D14:K14"/>
    <mergeCell ref="D15:K16"/>
    <mergeCell ref="D18:K18"/>
    <mergeCell ref="D19:K20"/>
    <mergeCell ref="D36:K37"/>
    <mergeCell ref="D34:K35"/>
    <mergeCell ref="D23:K24"/>
    <mergeCell ref="D22:K22"/>
    <mergeCell ref="D27:K28"/>
    <mergeCell ref="D26:K26"/>
    <mergeCell ref="D31:K32"/>
    <mergeCell ref="D30:K30"/>
  </mergeCells>
  <conditionalFormatting sqref="AH2 AL2">
    <cfRule type="expression" dxfId="65" priority="1">
      <formula>PROJSTATUS=PROJSTATELI</formula>
    </cfRule>
    <cfRule type="expression" dxfId="64" priority="2">
      <formula>PROJSTATUS=PROJSTATREVIEW</formula>
    </cfRule>
    <cfRule type="expression" dxfId="63" priority="3">
      <formula>PROJSTATUS=PROJSTATPREAPPROVE</formula>
    </cfRule>
    <cfRule type="expression" dxfId="62" priority="4">
      <formula>PROJSTATUS=PROJSTATSTANDARD</formula>
    </cfRule>
    <cfRule type="expression" dxfId="61" priority="5">
      <formula>PROJSTATUS=PROJSTATEXP</formula>
    </cfRule>
  </conditionalFormatting>
  <conditionalFormatting sqref="AQ2:AR3">
    <cfRule type="cellIs" dxfId="60" priority="6" operator="equal">
      <formula>1</formula>
    </cfRule>
    <cfRule type="cellIs" dxfId="59" priority="7" operator="between">
      <formula>0.51</formula>
      <formula>0.99</formula>
    </cfRule>
    <cfRule type="cellIs" dxfId="58" priority="8" operator="lessThanOrEqual">
      <formula>0.5</formula>
    </cfRule>
  </conditionalFormatting>
  <hyperlinks>
    <hyperlink ref="B205" r:id="rId1" display="NIPSCO.Savings@LMCO.com" xr:uid="{7CF6BCA1-8D57-4B2D-8823-4CAB63A913F1}"/>
  </hyperlinks>
  <pageMargins left="0.7" right="0.7" top="0.75" bottom="0.75" header="0.3" footer="0.3"/>
  <pageSetup scale="89"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E115781C6D98428AD8305F3496AD75" ma:contentTypeVersion="13" ma:contentTypeDescription="Create a new document." ma:contentTypeScope="" ma:versionID="3b8314be32ba812bd6f26f4c9e5d54b2">
  <xsd:schema xmlns:xsd="http://www.w3.org/2001/XMLSchema" xmlns:xs="http://www.w3.org/2001/XMLSchema" xmlns:p="http://schemas.microsoft.com/office/2006/metadata/properties" xmlns:ns3="1625fe05-97fd-4dfd-9e4f-1c71b8f9ce90" xmlns:ns4="d8e7ddf3-702e-47b5-99ae-6c5d1640f5c0" targetNamespace="http://schemas.microsoft.com/office/2006/metadata/properties" ma:root="true" ma:fieldsID="ae4a10a7f68bb3be34463b50e31822c0" ns3:_="" ns4:_="">
    <xsd:import namespace="1625fe05-97fd-4dfd-9e4f-1c71b8f9ce90"/>
    <xsd:import namespace="d8e7ddf3-702e-47b5-99ae-6c5d1640f5c0"/>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25fe05-97fd-4dfd-9e4f-1c71b8f9ce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e7ddf3-702e-47b5-99ae-6c5d1640f5c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05B7C7-06DC-432C-A51D-8FD6CFC765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25fe05-97fd-4dfd-9e4f-1c71b8f9ce90"/>
    <ds:schemaRef ds:uri="d8e7ddf3-702e-47b5-99ae-6c5d1640f5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2B438-2CAC-41AA-86A3-35BAB28DE6C6}">
  <ds:schemaRefs>
    <ds:schemaRef ds:uri="http://schemas.microsoft.com/office/infopath/2007/PartnerControls"/>
    <ds:schemaRef ds:uri="1625fe05-97fd-4dfd-9e4f-1c71b8f9ce90"/>
    <ds:schemaRef ds:uri="http://purl.org/dc/elements/1.1/"/>
    <ds:schemaRef ds:uri="http://schemas.microsoft.com/office/2006/metadata/properties"/>
    <ds:schemaRef ds:uri="d8e7ddf3-702e-47b5-99ae-6c5d1640f5c0"/>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873FAEBE-E07F-4BA5-B41F-5529F479EA30}">
  <ds:schemaRefs>
    <ds:schemaRef ds:uri="http://schemas.microsoft.com/sharepoint/v3/contenttype/fo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294</vt:i4>
      </vt:variant>
    </vt:vector>
  </HeadingPairs>
  <TitlesOfParts>
    <vt:vector size="309" baseType="lpstr">
      <vt:lpstr>TEMPLATE</vt:lpstr>
      <vt:lpstr>CUSTOMRCXNC</vt:lpstr>
      <vt:lpstr>CBDATA</vt:lpstr>
      <vt:lpstr>EXPORT</vt:lpstr>
      <vt:lpstr>Changelog</vt:lpstr>
      <vt:lpstr>LIGHTPRESCRIP</vt:lpstr>
      <vt:lpstr>DATA TABLES</vt:lpstr>
      <vt:lpstr>M06-S01</vt:lpstr>
      <vt:lpstr>M06-S01-2</vt:lpstr>
      <vt:lpstr>M06-S01-3</vt:lpstr>
      <vt:lpstr>M06-S02</vt:lpstr>
      <vt:lpstr>M01-S01</vt:lpstr>
      <vt:lpstr>M06-S04</vt:lpstr>
      <vt:lpstr>M06-S05</vt:lpstr>
      <vt:lpstr>M06-S07</vt:lpstr>
      <vt:lpstr>ACTBONUS</vt:lpstr>
      <vt:lpstr>APPTITLE</vt:lpstr>
      <vt:lpstr>BASEHIDTYPE</vt:lpstr>
      <vt:lpstr>BASEINCANDTYPE</vt:lpstr>
      <vt:lpstr>BASEKWHALL</vt:lpstr>
      <vt:lpstr>BASEKWHCUSE</vt:lpstr>
      <vt:lpstr>BASEKWHFT</vt:lpstr>
      <vt:lpstr>BASEKWHPA</vt:lpstr>
      <vt:lpstr>BASEKWHPRESE</vt:lpstr>
      <vt:lpstr>BONUSADJ</vt:lpstr>
      <vt:lpstr>BONUSCOST</vt:lpstr>
      <vt:lpstr>BUILDING</vt:lpstr>
      <vt:lpstr>BUSDEVELEMAIL</vt:lpstr>
      <vt:lpstr>BUSDEVELNAME</vt:lpstr>
      <vt:lpstr>BUSDEVELPHONE</vt:lpstr>
      <vt:lpstr>CBALL</vt:lpstr>
      <vt:lpstr>CBCUSE</vt:lpstr>
      <vt:lpstr>CBPRESE</vt:lpstr>
      <vt:lpstr>CFLEFF1</vt:lpstr>
      <vt:lpstr>CMEBASEWATT2</vt:lpstr>
      <vt:lpstr>CMELIGHTACTUALW</vt:lpstr>
      <vt:lpstr>CMELIGHTBASE1</vt:lpstr>
      <vt:lpstr>CMELIGHTBASEW</vt:lpstr>
      <vt:lpstr>CMELIGHTDESC</vt:lpstr>
      <vt:lpstr>CMELIGHTEFF1</vt:lpstr>
      <vt:lpstr>CMELIGHTEFFBASEW</vt:lpstr>
      <vt:lpstr>COSTTOTAL</vt:lpstr>
      <vt:lpstr>COSTTOTALALL</vt:lpstr>
      <vt:lpstr>COSTTOTALALLCUSE</vt:lpstr>
      <vt:lpstr>COSTTOTALALLFT</vt:lpstr>
      <vt:lpstr>COSTTOTALALLPA</vt:lpstr>
      <vt:lpstr>COSTTOTALALLPRESE</vt:lpstr>
      <vt:lpstr>COSTTOTALCUSE</vt:lpstr>
      <vt:lpstr>COSTTOTALFT</vt:lpstr>
      <vt:lpstr>COSTTOTALPA</vt:lpstr>
      <vt:lpstr>COSTTOTALPRESE</vt:lpstr>
      <vt:lpstr>CUSTSUBAPP</vt:lpstr>
      <vt:lpstr>DIVERSITYBUSTYPE</vt:lpstr>
      <vt:lpstr>DIVERSITYORG</vt:lpstr>
      <vt:lpstr>EDR</vt:lpstr>
      <vt:lpstr>ELIBONUS</vt:lpstr>
      <vt:lpstr>ELOSS</vt:lpstr>
      <vt:lpstr>ENDUSECAT</vt:lpstr>
      <vt:lpstr>ENGNRSNAMES</vt:lpstr>
      <vt:lpstr>ENGSIGN</vt:lpstr>
      <vt:lpstr>ENGSIGNDATE</vt:lpstr>
      <vt:lpstr>EXPIRATION</vt:lpstr>
      <vt:lpstr>EXPIRE</vt:lpstr>
      <vt:lpstr>GDR</vt:lpstr>
      <vt:lpstr>GLOSS</vt:lpstr>
      <vt:lpstr>HEARABOUT</vt:lpstr>
      <vt:lpstr>HVACENDUSETYPE</vt:lpstr>
      <vt:lpstr>HVACTYPE</vt:lpstr>
      <vt:lpstr>IMPLSPECNAME</vt:lpstr>
      <vt:lpstr>INCENEW</vt:lpstr>
      <vt:lpstr>INCENNEWCUS</vt:lpstr>
      <vt:lpstr>INCENNEWPRES</vt:lpstr>
      <vt:lpstr>INCENSTATUS</vt:lpstr>
      <vt:lpstr>INCENTCAPADJ</vt:lpstr>
      <vt:lpstr>INCENTOTAL</vt:lpstr>
      <vt:lpstr>INCENTOTALCUSE</vt:lpstr>
      <vt:lpstr>INCENTOTALFT</vt:lpstr>
      <vt:lpstr>INCENTOTALPA</vt:lpstr>
      <vt:lpstr>INCENTOTALPRESE</vt:lpstr>
      <vt:lpstr>INSTALL</vt:lpstr>
      <vt:lpstr>INSTALLYN</vt:lpstr>
      <vt:lpstr>KWHSTATUS</vt:lpstr>
      <vt:lpstr>KWHTOTAL</vt:lpstr>
      <vt:lpstr>KWHTOTALALL</vt:lpstr>
      <vt:lpstr>KWHTOTALALLCUSE</vt:lpstr>
      <vt:lpstr>KWHTOTALALLFT</vt:lpstr>
      <vt:lpstr>KWHTOTALALLPA</vt:lpstr>
      <vt:lpstr>KWHTOTALALLPRESE</vt:lpstr>
      <vt:lpstr>KWHTOTALCUSE</vt:lpstr>
      <vt:lpstr>KWHTOTALFT</vt:lpstr>
      <vt:lpstr>KWHTOTALPA</vt:lpstr>
      <vt:lpstr>KWHTOTALPRESE</vt:lpstr>
      <vt:lpstr>KWTOTAL</vt:lpstr>
      <vt:lpstr>KWTOTALALL</vt:lpstr>
      <vt:lpstr>KWTOTALALLCUSE</vt:lpstr>
      <vt:lpstr>KWTOTALALLFT</vt:lpstr>
      <vt:lpstr>KWTOTALALLPA</vt:lpstr>
      <vt:lpstr>KWTOTALALLPRESE</vt:lpstr>
      <vt:lpstr>KWTOTALCUSE</vt:lpstr>
      <vt:lpstr>KWTOTALFT</vt:lpstr>
      <vt:lpstr>KWTOTALPA</vt:lpstr>
      <vt:lpstr>KWTOTALPRESE</vt:lpstr>
      <vt:lpstr>LEDCAT</vt:lpstr>
      <vt:lpstr>LEDREDEFF1</vt:lpstr>
      <vt:lpstr>LGHTSCHEDTYPES</vt:lpstr>
      <vt:lpstr>LIGHTCAT</vt:lpstr>
      <vt:lpstr>LIGHTHEATCOIN</vt:lpstr>
      <vt:lpstr>LIGHTING2021</vt:lpstr>
      <vt:lpstr>LIGHTRATE21</vt:lpstr>
      <vt:lpstr>LINEARUPGTYPE</vt:lpstr>
      <vt:lpstr>LINFIXTTYPE</vt:lpstr>
      <vt:lpstr>LINLEDTYPE</vt:lpstr>
      <vt:lpstr>M02S01F01</vt:lpstr>
      <vt:lpstr>M02S01F02</vt:lpstr>
      <vt:lpstr>M02S01F03</vt:lpstr>
      <vt:lpstr>M02S01F04</vt:lpstr>
      <vt:lpstr>M02S01F05</vt:lpstr>
      <vt:lpstr>M02S02F01</vt:lpstr>
      <vt:lpstr>M02S02F02</vt:lpstr>
      <vt:lpstr>M02S02F03</vt:lpstr>
      <vt:lpstr>M02S02F04</vt:lpstr>
      <vt:lpstr>M02S02F05</vt:lpstr>
      <vt:lpstr>M02S02F07</vt:lpstr>
      <vt:lpstr>M02S02F15</vt:lpstr>
      <vt:lpstr>M02S02F22</vt:lpstr>
      <vt:lpstr>M02S02F23</vt:lpstr>
      <vt:lpstr>M02S02F24</vt:lpstr>
      <vt:lpstr>M02S02F25</vt:lpstr>
      <vt:lpstr>M02S02F26</vt:lpstr>
      <vt:lpstr>M02S02F28</vt:lpstr>
      <vt:lpstr>M02S02F32</vt:lpstr>
      <vt:lpstr>M02S02F35</vt:lpstr>
      <vt:lpstr>M02S02F37</vt:lpstr>
      <vt:lpstr>M02S02F38</vt:lpstr>
      <vt:lpstr>M02S02F42</vt:lpstr>
      <vt:lpstr>M02S02F43</vt:lpstr>
      <vt:lpstr>M02S02F44</vt:lpstr>
      <vt:lpstr>M02S02F47</vt:lpstr>
      <vt:lpstr>M02S03F01</vt:lpstr>
      <vt:lpstr>M02S03F02</vt:lpstr>
      <vt:lpstr>M02S03F03</vt:lpstr>
      <vt:lpstr>M02S03F04</vt:lpstr>
      <vt:lpstr>M02S03F05</vt:lpstr>
      <vt:lpstr>M02S03F06</vt:lpstr>
      <vt:lpstr>M02S03F08</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M02S04F13</vt:lpstr>
      <vt:lpstr>M02S04F14</vt:lpstr>
      <vt:lpstr>M02S04F15</vt:lpstr>
      <vt:lpstr>M02S04F16</vt:lpstr>
      <vt:lpstr>M02S04F17</vt:lpstr>
      <vt:lpstr>M05S02F01</vt:lpstr>
      <vt:lpstr>M05S02F02</vt:lpstr>
      <vt:lpstr>M05S02F03</vt:lpstr>
      <vt:lpstr>M05S07F02</vt:lpstr>
      <vt:lpstr>M05S07F03</vt:lpstr>
      <vt:lpstr>M05S07F04</vt:lpstr>
      <vt:lpstr>M05S07F05</vt:lpstr>
      <vt:lpstr>M05S07F06</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NONPRESCPROGRAM</vt:lpstr>
      <vt:lpstr>PAYALL</vt:lpstr>
      <vt:lpstr>PAYCUSE</vt:lpstr>
      <vt:lpstr>PAYPRESE</vt:lpstr>
      <vt:lpstr>PAYTO</vt:lpstr>
      <vt:lpstr>PEAKTD</vt:lpstr>
      <vt:lpstr>PMECOMPAIREFF1</vt:lpstr>
      <vt:lpstr>PMECOMPAIRMAX</vt:lpstr>
      <vt:lpstr>PMECOMPAIRMIN</vt:lpstr>
      <vt:lpstr>PMEFANSMEAS</vt:lpstr>
      <vt:lpstr>PMEHVACEFFMAX</vt:lpstr>
      <vt:lpstr>PMEHVACEFFMIN</vt:lpstr>
      <vt:lpstr>PMEHVACMEAS</vt:lpstr>
      <vt:lpstr>PMEHVACSIZEMAX</vt:lpstr>
      <vt:lpstr>PMEHVACSIZEMIN</vt:lpstr>
      <vt:lpstr>PMEKITCHENEFF1</vt:lpstr>
      <vt:lpstr>PMELIGHTHIDEFFMAX</vt:lpstr>
      <vt:lpstr>PMELIGHTINCANBASEMAX</vt:lpstr>
      <vt:lpstr>PMELIGHTINCANBASEMIN</vt:lpstr>
      <vt:lpstr>PMELIGHTINCANCAT</vt:lpstr>
      <vt:lpstr>PMELIGHTINCANEFFMIN</vt:lpstr>
      <vt:lpstr>PMELIGHTINCANVALID</vt:lpstr>
      <vt:lpstr>PMELIGHTLINBASEMAX</vt:lpstr>
      <vt:lpstr>PMELIGHTLINBASEMIN</vt:lpstr>
      <vt:lpstr>PMELIGHTLINCAT</vt:lpstr>
      <vt:lpstr>PMELIGHTLINEFFMAX</vt:lpstr>
      <vt:lpstr>PMELINLENGTH</vt:lpstr>
      <vt:lpstr>PMELINUPGTYP</vt:lpstr>
      <vt:lpstr>PMEMOTOREFF1</vt:lpstr>
      <vt:lpstr>PMEOCCSENEFF</vt:lpstr>
      <vt:lpstr>PMEOCCSENWATT</vt:lpstr>
      <vt:lpstr>PMEREFRIEFF1</vt:lpstr>
      <vt:lpstr>PMEVFDEFF1</vt:lpstr>
      <vt:lpstr>PMEVFDMAXHP</vt:lpstr>
      <vt:lpstr>PMEVFDMINHP</vt:lpstr>
      <vt:lpstr>PNAME</vt:lpstr>
      <vt:lpstr>PREAPPROV2018</vt:lpstr>
      <vt:lpstr>'M06-S01'!Print_Area</vt:lpstr>
      <vt:lpstr>'M06-S01-2'!Print_Area</vt:lpstr>
      <vt:lpstr>'M06-S04'!Print_Area</vt:lpstr>
      <vt:lpstr>'M06-S05'!Print_Area</vt:lpstr>
      <vt:lpstr>'M06-S07'!Print_Area</vt:lpstr>
      <vt:lpstr>PROGRAM</vt:lpstr>
      <vt:lpstr>PROGRESSSTATUS</vt:lpstr>
      <vt:lpstr>PROJBONUSCAP</vt:lpstr>
      <vt:lpstr>PROJFILLOUT</vt:lpstr>
      <vt:lpstr>PROJID</vt:lpstr>
      <vt:lpstr>PROJSTATBOUGHT</vt:lpstr>
      <vt:lpstr>PROJSTATELI</vt:lpstr>
      <vt:lpstr>PROJSTATEXP</vt:lpstr>
      <vt:lpstr>PROJSTATMEASURE</vt:lpstr>
      <vt:lpstr>PROJSTATPREAPPROVE</vt:lpstr>
      <vt:lpstr>PROJSTATRES</vt:lpstr>
      <vt:lpstr>PROJSTATREVIEW</vt:lpstr>
      <vt:lpstr>PROJSTATSTANDARD</vt:lpstr>
      <vt:lpstr>PROJSTATUNDER</vt:lpstr>
      <vt:lpstr>PROJSTATUS</vt:lpstr>
      <vt:lpstr>QUIKEFFW</vt:lpstr>
      <vt:lpstr>RATECAT</vt:lpstr>
      <vt:lpstr>REDESIGNBASEDESC</vt:lpstr>
      <vt:lpstr>SBDICAP</vt:lpstr>
      <vt:lpstr>SHEAT</vt:lpstr>
      <vt:lpstr>STATESABBREV</vt:lpstr>
      <vt:lpstr>TATYPE</vt:lpstr>
      <vt:lpstr>TAX</vt:lpstr>
      <vt:lpstr>THERMSTATUS</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2020-08-13T17:55:49Z</cp:lastPrinted>
  <dcterms:created xsi:type="dcterms:W3CDTF">2015-10-07T20:52:11Z</dcterms:created>
  <dcterms:modified xsi:type="dcterms:W3CDTF">2024-10-14T16:53:09Z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0x0101000BE115781C6D98428AD8305F3496AD75</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ACCT02\jonest20</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